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GDM Data modeling\GGDM v30\"/>
    </mc:Choice>
  </mc:AlternateContent>
  <bookViews>
    <workbookView xWindow="0" yWindow="0" windowWidth="21315" windowHeight="10920"/>
  </bookViews>
  <sheets>
    <sheet name="Feature_Index" sheetId="1" r:id="rId1"/>
  </sheets>
  <definedNames>
    <definedName name="_xlnm._FilterDatabase" localSheetId="0" hidden="1">Feature_Index!$K$1:$K$625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5" i="1" l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<sst xmlns="http://schemas.openxmlformats.org/spreadsheetml/2006/main" count="3703" uniqueCount="1147">
  <si>
    <t>Feature Name</t>
  </si>
  <si>
    <t>Feature Code</t>
  </si>
  <si>
    <t>Global</t>
  </si>
  <si>
    <t>Regional</t>
  </si>
  <si>
    <t>Local</t>
  </si>
  <si>
    <t>Specialized</t>
  </si>
  <si>
    <t>Composite</t>
  </si>
  <si>
    <t>NumericID</t>
  </si>
  <si>
    <t>Alias Name</t>
  </si>
  <si>
    <t>Metadata Flag</t>
  </si>
  <si>
    <t>FA000</t>
  </si>
  <si>
    <t>BoundaryCrvExt</t>
  </si>
  <si>
    <t>ADMBDRYC</t>
  </si>
  <si>
    <t>FA003</t>
  </si>
  <si>
    <t>BoundarySrfExt</t>
  </si>
  <si>
    <t>ADMSUBDIVS</t>
  </si>
  <si>
    <t>AB040</t>
  </si>
  <si>
    <t>IndustrySrf</t>
  </si>
  <si>
    <t>AEBASINS</t>
  </si>
  <si>
    <t>AT012</t>
  </si>
  <si>
    <t>UtilityInfrastructurePnt</t>
  </si>
  <si>
    <t>AERFARMP</t>
  </si>
  <si>
    <t>UtilityInfrastructureSrf</t>
  </si>
  <si>
    <t>AERFARMS</t>
  </si>
  <si>
    <t>AT011</t>
  </si>
  <si>
    <t>AERIALP</t>
  </si>
  <si>
    <t>GA033</t>
  </si>
  <si>
    <t>AeronauticPntExt</t>
  </si>
  <si>
    <t>AERADIOP</t>
  </si>
  <si>
    <t>GB013</t>
  </si>
  <si>
    <t>BEACONP</t>
  </si>
  <si>
    <t>GB230</t>
  </si>
  <si>
    <t>AeronauticPnt</t>
  </si>
  <si>
    <t>HANGARP</t>
  </si>
  <si>
    <t>AeronauticSrf</t>
  </si>
  <si>
    <t>HANGARS</t>
  </si>
  <si>
    <t>AK164</t>
  </si>
  <si>
    <t>RecreationPnt</t>
  </si>
  <si>
    <t>THEATREP</t>
  </si>
  <si>
    <t>RecreationSrf</t>
  </si>
  <si>
    <t>THEATRES</t>
  </si>
  <si>
    <t>AK020</t>
  </si>
  <si>
    <t>RecreationCrv</t>
  </si>
  <si>
    <t>AMTATTRC</t>
  </si>
  <si>
    <t>AMTATTRP</t>
  </si>
  <si>
    <t>AMTATTRS</t>
  </si>
  <si>
    <t>AK030</t>
  </si>
  <si>
    <t>AMTPARKP</t>
  </si>
  <si>
    <t>AMTPARKS</t>
  </si>
  <si>
    <t>BB019</t>
  </si>
  <si>
    <t>PortHarbourPntExt</t>
  </si>
  <si>
    <t>ANCHORP</t>
  </si>
  <si>
    <t>BB010</t>
  </si>
  <si>
    <t>ANCHRGEP</t>
  </si>
  <si>
    <t>PortHarbourSrfExt</t>
  </si>
  <si>
    <t>ANCHRGES</t>
  </si>
  <si>
    <t>ZD045</t>
  </si>
  <si>
    <t>InformationCrv</t>
  </si>
  <si>
    <t>ANNOLOCC</t>
  </si>
  <si>
    <t>InformationPnt</t>
  </si>
  <si>
    <t>ANNOLOCP</t>
  </si>
  <si>
    <t>InformationSrf</t>
  </si>
  <si>
    <t>ANNOLOCS</t>
  </si>
  <si>
    <t>AL121</t>
  </si>
  <si>
    <t>MilitaryPntExt</t>
  </si>
  <si>
    <t>AAARTILP</t>
  </si>
  <si>
    <t>MilitarySrfExt</t>
  </si>
  <si>
    <t>AAARTILS</t>
  </si>
  <si>
    <t>GB015</t>
  </si>
  <si>
    <t>APRONS</t>
  </si>
  <si>
    <t>BD061</t>
  </si>
  <si>
    <t>HydrographyPntExt</t>
  </si>
  <si>
    <t>AQVEGETP</t>
  </si>
  <si>
    <t>HydrographySrfExt</t>
  </si>
  <si>
    <t>AQVEGETS</t>
  </si>
  <si>
    <t>NM010</t>
  </si>
  <si>
    <t>HydrographyAONExt</t>
  </si>
  <si>
    <t>AQEDAONS</t>
  </si>
  <si>
    <t>BH010</t>
  </si>
  <si>
    <t>HydrographyCrv</t>
  </si>
  <si>
    <t>AQEDUCTC</t>
  </si>
  <si>
    <t>HydrographySrf</t>
  </si>
  <si>
    <t>AQEDUCTS</t>
  </si>
  <si>
    <t>BH116</t>
  </si>
  <si>
    <t>SubterraneanSrf</t>
  </si>
  <si>
    <t>AQUIFERS</t>
  </si>
  <si>
    <t>AQ151</t>
  </si>
  <si>
    <t>TransportationGroundCrv</t>
  </si>
  <si>
    <t>ARCADEC</t>
  </si>
  <si>
    <t>TransportationGroundSrf</t>
  </si>
  <si>
    <t>ARCADES</t>
  </si>
  <si>
    <t>AL012</t>
  </si>
  <si>
    <t>CulturePnt</t>
  </si>
  <si>
    <t>ARCSITEP</t>
  </si>
  <si>
    <t>CultureSrf</t>
  </si>
  <si>
    <t>ARCSITES</t>
  </si>
  <si>
    <t>DA005</t>
  </si>
  <si>
    <t>PhysiographySrf</t>
  </si>
  <si>
    <t>ASPLAKES</t>
  </si>
  <si>
    <t>AL142</t>
  </si>
  <si>
    <t>StructurePnt</t>
  </si>
  <si>
    <t>ASTROBSP</t>
  </si>
  <si>
    <t>StructureSrf</t>
  </si>
  <si>
    <t>ASTROBSS</t>
  </si>
  <si>
    <t>AJ085</t>
  </si>
  <si>
    <t>AgriculturePnt</t>
  </si>
  <si>
    <t>BARNP</t>
  </si>
  <si>
    <t>AgricultureSrf</t>
  </si>
  <si>
    <t>BARNS</t>
  </si>
  <si>
    <t>BI045</t>
  </si>
  <si>
    <t>TransportationWaterCrv</t>
  </si>
  <si>
    <t>BASNGATC</t>
  </si>
  <si>
    <t>TransportationWaterPnt</t>
  </si>
  <si>
    <t>BASNGATP</t>
  </si>
  <si>
    <t>BB150</t>
  </si>
  <si>
    <t>BEACHLSP</t>
  </si>
  <si>
    <t>BEACHLSS</t>
  </si>
  <si>
    <t>BE050</t>
  </si>
  <si>
    <t>PhysiographyCrvExt</t>
  </si>
  <si>
    <t>BEACHPRC</t>
  </si>
  <si>
    <t>BA050</t>
  </si>
  <si>
    <t>PhysiographySrfExt</t>
  </si>
  <si>
    <t>BEACHS</t>
  </si>
  <si>
    <t>ZB020</t>
  </si>
  <si>
    <t>HypsographyPntExt</t>
  </si>
  <si>
    <t>BENCHMKP</t>
  </si>
  <si>
    <t>BB020</t>
  </si>
  <si>
    <t>BERTHP</t>
  </si>
  <si>
    <t>AG050</t>
  </si>
  <si>
    <t>BILLBRDP</t>
  </si>
  <si>
    <t>AC010</t>
  </si>
  <si>
    <t>IndustryPnt</t>
  </si>
  <si>
    <t>BLSTFRNP</t>
  </si>
  <si>
    <t>BLSTFRNS</t>
  </si>
  <si>
    <t>BH015</t>
  </si>
  <si>
    <t>VegetationSrf</t>
  </si>
  <si>
    <t>BOGS</t>
  </si>
  <si>
    <t>AA045</t>
  </si>
  <si>
    <t>BOREHOLP</t>
  </si>
  <si>
    <t>EA031</t>
  </si>
  <si>
    <t>BGARDENS</t>
  </si>
  <si>
    <t>BF010</t>
  </si>
  <si>
    <t>BTMCREGP</t>
  </si>
  <si>
    <t>BTMCREGS</t>
  </si>
  <si>
    <t>ZB030</t>
  </si>
  <si>
    <t>BoundaryPnt</t>
  </si>
  <si>
    <t>BNDRYMOP</t>
  </si>
  <si>
    <t>AQ040</t>
  </si>
  <si>
    <t>BRIDGEC</t>
  </si>
  <si>
    <t>TransportationGroundPnt</t>
  </si>
  <si>
    <t>BRIDGEP</t>
  </si>
  <si>
    <t>AQ056</t>
  </si>
  <si>
    <t>BRDGEPRC</t>
  </si>
  <si>
    <t>BRDGEPRP</t>
  </si>
  <si>
    <t>BRDGEPRS</t>
  </si>
  <si>
    <t>BRIDGES</t>
  </si>
  <si>
    <t>AQ045</t>
  </si>
  <si>
    <t>BRDGESPC</t>
  </si>
  <si>
    <t>BRDGESPP</t>
  </si>
  <si>
    <t>BRDGESPS</t>
  </si>
  <si>
    <t>AQ050</t>
  </si>
  <si>
    <t>BRDGESSC</t>
  </si>
  <si>
    <t>BRDGESSS</t>
  </si>
  <si>
    <t>AQ055</t>
  </si>
  <si>
    <t>BRDGETWP</t>
  </si>
  <si>
    <t>EB070</t>
  </si>
  <si>
    <t>BRUSHS</t>
  </si>
  <si>
    <t>AL013</t>
  </si>
  <si>
    <t>BLDGP</t>
  </si>
  <si>
    <t>BLDGS</t>
  </si>
  <si>
    <t>AL018</t>
  </si>
  <si>
    <t>StructureCrv</t>
  </si>
  <si>
    <t>BLDGSSC</t>
  </si>
  <si>
    <t>BLDGSSP</t>
  </si>
  <si>
    <t>BLDGSSS</t>
  </si>
  <si>
    <t>AL020</t>
  </si>
  <si>
    <t>SettlementPnt</t>
  </si>
  <si>
    <t>BUILTUPP</t>
  </si>
  <si>
    <t>SettlementSrf</t>
  </si>
  <si>
    <t>BUILTUPS</t>
  </si>
  <si>
    <t>BC020</t>
  </si>
  <si>
    <t>HydroAidNavigationPntExt</t>
  </si>
  <si>
    <t>BUOYP</t>
  </si>
  <si>
    <t>AT005</t>
  </si>
  <si>
    <t>UtilityInfrastructureCrv</t>
  </si>
  <si>
    <t>CABLEC</t>
  </si>
  <si>
    <t>AT041</t>
  </si>
  <si>
    <t>CABLEWYC</t>
  </si>
  <si>
    <t>AL025</t>
  </si>
  <si>
    <t>CAIRNP</t>
  </si>
  <si>
    <t>BB050</t>
  </si>
  <si>
    <t>CALLPTP</t>
  </si>
  <si>
    <t>AI030</t>
  </si>
  <si>
    <t>CAMPP</t>
  </si>
  <si>
    <t>CAMPS</t>
  </si>
  <si>
    <t>AK060</t>
  </si>
  <si>
    <t>CAMPSITP</t>
  </si>
  <si>
    <t>CAMPSITS</t>
  </si>
  <si>
    <t>EC010</t>
  </si>
  <si>
    <t>CANES</t>
  </si>
  <si>
    <t>SU004</t>
  </si>
  <si>
    <t>MilitarySrf</t>
  </si>
  <si>
    <t>CANTONS</t>
  </si>
  <si>
    <t>AI020</t>
  </si>
  <si>
    <t>CARAVNPS</t>
  </si>
  <si>
    <t>AP010</t>
  </si>
  <si>
    <t>CARTTRKC</t>
  </si>
  <si>
    <t>AL376</t>
  </si>
  <si>
    <t>MilitaryPnt</t>
  </si>
  <si>
    <t>CASTLECP</t>
  </si>
  <si>
    <t>CASTLECS</t>
  </si>
  <si>
    <t>AL375</t>
  </si>
  <si>
    <t>CASTLEP</t>
  </si>
  <si>
    <t>CASTLES</t>
  </si>
  <si>
    <t>AC020</t>
  </si>
  <si>
    <t>CATYCRKP</t>
  </si>
  <si>
    <t>CATYCRKS</t>
  </si>
  <si>
    <t>AQ063</t>
  </si>
  <si>
    <t>CASWYSTC</t>
  </si>
  <si>
    <t>CASWYSTS</t>
  </si>
  <si>
    <t>DB028</t>
  </si>
  <si>
    <t>CAVECHBS</t>
  </si>
  <si>
    <t>DB029</t>
  </si>
  <si>
    <t>PhysiographyPnt</t>
  </si>
  <si>
    <t>CAVEMOUP</t>
  </si>
  <si>
    <t>AL030</t>
  </si>
  <si>
    <t>CEMETRYP</t>
  </si>
  <si>
    <t>CEMETRYS</t>
  </si>
  <si>
    <t>AH070</t>
  </si>
  <si>
    <t>CHKPTP</t>
  </si>
  <si>
    <t>NU010</t>
  </si>
  <si>
    <t>CSTRAONS</t>
  </si>
  <si>
    <t>BI010</t>
  </si>
  <si>
    <t>HydrographyPnt</t>
  </si>
  <si>
    <t>CISTERNP</t>
  </si>
  <si>
    <t>EC040</t>
  </si>
  <si>
    <t>VegetationCrv</t>
  </si>
  <si>
    <t>CLRDWAYC</t>
  </si>
  <si>
    <t>CLRDWAYS</t>
  </si>
  <si>
    <t>TBCDL</t>
  </si>
  <si>
    <t>CODELSTT</t>
  </si>
  <si>
    <t>FA210</t>
  </si>
  <si>
    <t>CONSERVS</t>
  </si>
  <si>
    <t>FA012</t>
  </si>
  <si>
    <t>CONTMNTP</t>
  </si>
  <si>
    <t>CONTMNTS</t>
  </si>
  <si>
    <t>AQ060</t>
  </si>
  <si>
    <t>CNTRLTWP</t>
  </si>
  <si>
    <t>CNTRLTWS</t>
  </si>
  <si>
    <t>AF020</t>
  </si>
  <si>
    <t>IndustryCrv</t>
  </si>
  <si>
    <t>CONVYORC</t>
  </si>
  <si>
    <t>CONVYORP</t>
  </si>
  <si>
    <t>AD055</t>
  </si>
  <si>
    <t>COOLFACP</t>
  </si>
  <si>
    <t>COOLFACS</t>
  </si>
  <si>
    <t>AF030</t>
  </si>
  <si>
    <t>COOLTWRP</t>
  </si>
  <si>
    <t>COOLTWRS</t>
  </si>
  <si>
    <t>AL175</t>
  </si>
  <si>
    <t>COURTYDS</t>
  </si>
  <si>
    <t>AF040</t>
  </si>
  <si>
    <t>CRANEP</t>
  </si>
  <si>
    <t>CRANES</t>
  </si>
  <si>
    <t>DB185</t>
  </si>
  <si>
    <t>PhysiographyPntExt</t>
  </si>
  <si>
    <t>CRATERP</t>
  </si>
  <si>
    <t>CRATERS</t>
  </si>
  <si>
    <t>BJ031</t>
  </si>
  <si>
    <t>PhysiographyCrv</t>
  </si>
  <si>
    <t>CREVASEC</t>
  </si>
  <si>
    <t>CREVASES</t>
  </si>
  <si>
    <t>DB061</t>
  </si>
  <si>
    <t>CREVICEC</t>
  </si>
  <si>
    <t>CREVICES</t>
  </si>
  <si>
    <t>BD020</t>
  </si>
  <si>
    <t>CRIBP</t>
  </si>
  <si>
    <t>CRIBS</t>
  </si>
  <si>
    <t>EA010</t>
  </si>
  <si>
    <t>CROPLDS</t>
  </si>
  <si>
    <t>AQ062</t>
  </si>
  <si>
    <t>CROSSNGP</t>
  </si>
  <si>
    <t>ZD030</t>
  </si>
  <si>
    <t>CulturePntExt</t>
  </si>
  <si>
    <t>CULCONXP</t>
  </si>
  <si>
    <t>CultureSrfExt</t>
  </si>
  <si>
    <t>CULCONXS</t>
  </si>
  <si>
    <t>AQ065</t>
  </si>
  <si>
    <t>CULVERTC</t>
  </si>
  <si>
    <t>CULVERTP</t>
  </si>
  <si>
    <t>DB070</t>
  </si>
  <si>
    <t>CUTC</t>
  </si>
  <si>
    <t>DB071</t>
  </si>
  <si>
    <t>CUTLINEC</t>
  </si>
  <si>
    <t>BI020</t>
  </si>
  <si>
    <t>DAMC</t>
  </si>
  <si>
    <t>DAMP</t>
  </si>
  <si>
    <t>DAMS</t>
  </si>
  <si>
    <t>ZI031</t>
  </si>
  <si>
    <t>ResourceSrf</t>
  </si>
  <si>
    <t>DATASETS</t>
  </si>
  <si>
    <t>Metadata</t>
  </si>
  <si>
    <t>DATASETT</t>
  </si>
  <si>
    <t>GB050</t>
  </si>
  <si>
    <t>MilitaryCrv</t>
  </si>
  <si>
    <t>DEFREVTC</t>
  </si>
  <si>
    <t>DB080</t>
  </si>
  <si>
    <t>DEPRESSP</t>
  </si>
  <si>
    <t>DEPRESSS</t>
  </si>
  <si>
    <t>BE019</t>
  </si>
  <si>
    <t>DEPTHS</t>
  </si>
  <si>
    <t>BE015</t>
  </si>
  <si>
    <t>HydrographyCrvExt</t>
  </si>
  <si>
    <t>DEPTHCOC</t>
  </si>
  <si>
    <t>BE010</t>
  </si>
  <si>
    <t>DEPTHCVC</t>
  </si>
  <si>
    <t>EE030</t>
  </si>
  <si>
    <t>DESERTS</t>
  </si>
  <si>
    <t>BD030</t>
  </si>
  <si>
    <t>DISCWTRP</t>
  </si>
  <si>
    <t>DISCWTRS</t>
  </si>
  <si>
    <t>AT010</t>
  </si>
  <si>
    <t>DISHAERP</t>
  </si>
  <si>
    <t>AB000</t>
  </si>
  <si>
    <t>DISPOSLP</t>
  </si>
  <si>
    <t>DISPOSLS</t>
  </si>
  <si>
    <t>ZB036</t>
  </si>
  <si>
    <t>TransportationGroundPntExt</t>
  </si>
  <si>
    <t>DISTMRKP</t>
  </si>
  <si>
    <t>NM030</t>
  </si>
  <si>
    <t>DITCAONS</t>
  </si>
  <si>
    <t>BH030</t>
  </si>
  <si>
    <t>DITCHC</t>
  </si>
  <si>
    <t>DITCHS</t>
  </si>
  <si>
    <t>BB080</t>
  </si>
  <si>
    <t>DOLPHINP</t>
  </si>
  <si>
    <t>AL060</t>
  </si>
  <si>
    <t>DRAGTHC</t>
  </si>
  <si>
    <t>DRAGTHS</t>
  </si>
  <si>
    <t>NA170</t>
  </si>
  <si>
    <t>DRBASNS</t>
  </si>
  <si>
    <t>FC034</t>
  </si>
  <si>
    <t>DREDGEDS</t>
  </si>
  <si>
    <t>AK070</t>
  </si>
  <si>
    <t>DRVINTHS</t>
  </si>
  <si>
    <t>BB090</t>
  </si>
  <si>
    <t>PortHarbourSrf</t>
  </si>
  <si>
    <t>DRYDOCKS</t>
  </si>
  <si>
    <t>AD010</t>
  </si>
  <si>
    <t>ELECPWRP</t>
  </si>
  <si>
    <t>ELECPWRS</t>
  </si>
  <si>
    <t>CA010</t>
  </si>
  <si>
    <t>HypsographyCrv</t>
  </si>
  <si>
    <t>ELEVCOC</t>
  </si>
  <si>
    <t>DB090</t>
  </si>
  <si>
    <t>EMBANKC</t>
  </si>
  <si>
    <t>EMBANKS</t>
  </si>
  <si>
    <t>AF060</t>
  </si>
  <si>
    <t>ENGTESTP</t>
  </si>
  <si>
    <t>ENGTESTS</t>
  </si>
  <si>
    <t>AH025</t>
  </si>
  <si>
    <t>ENGDETHC</t>
  </si>
  <si>
    <t>ENGDETHS</t>
  </si>
  <si>
    <t>AP033</t>
  </si>
  <si>
    <t>ENGDTAP</t>
  </si>
  <si>
    <t>ZI039</t>
  </si>
  <si>
    <t>MetadataSrf</t>
  </si>
  <si>
    <t>METAECS</t>
  </si>
  <si>
    <t>METAECT</t>
  </si>
  <si>
    <t>DB100</t>
  </si>
  <si>
    <t>ESKERC</t>
  </si>
  <si>
    <t>AF050</t>
  </si>
  <si>
    <t>EXCAVMCC</t>
  </si>
  <si>
    <t>EXCAVMCP</t>
  </si>
  <si>
    <t>AA010</t>
  </si>
  <si>
    <t>EXTMINEP</t>
  </si>
  <si>
    <t>EXTMINES</t>
  </si>
  <si>
    <t>AL010</t>
  </si>
  <si>
    <t>FacilityPnt</t>
  </si>
  <si>
    <t>FACILTYP</t>
  </si>
  <si>
    <t>FacilitySrf</t>
  </si>
  <si>
    <t>FACILTYS</t>
  </si>
  <si>
    <t>AK090</t>
  </si>
  <si>
    <t>FAIRGRDS</t>
  </si>
  <si>
    <t>AL070</t>
  </si>
  <si>
    <t>FENCEC</t>
  </si>
  <si>
    <t>AQ070</t>
  </si>
  <si>
    <t>FERRYCRC</t>
  </si>
  <si>
    <t>TransportationWaterPntExt</t>
  </si>
  <si>
    <t>FERRYCRP</t>
  </si>
  <si>
    <t>AQ080</t>
  </si>
  <si>
    <t>FERRYSTP</t>
  </si>
  <si>
    <t>TransportationWaterSrf</t>
  </si>
  <si>
    <t>FERRYSTS</t>
  </si>
  <si>
    <t>AL017</t>
  </si>
  <si>
    <t>FIREHYDP</t>
  </si>
  <si>
    <t>FA015</t>
  </si>
  <si>
    <t>FRNGRNGP</t>
  </si>
  <si>
    <t>FRNGRNGS</t>
  </si>
  <si>
    <t>BH051</t>
  </si>
  <si>
    <t>FISHFARP</t>
  </si>
  <si>
    <t>FISHFARS</t>
  </si>
  <si>
    <t>BI060</t>
  </si>
  <si>
    <t>FISHLADC</t>
  </si>
  <si>
    <t>BB110</t>
  </si>
  <si>
    <t>FISHWERP</t>
  </si>
  <si>
    <t>FISHWERS</t>
  </si>
  <si>
    <t>BB100</t>
  </si>
  <si>
    <t>FISHSTKC</t>
  </si>
  <si>
    <t>AL073</t>
  </si>
  <si>
    <t>FLAGPOLP</t>
  </si>
  <si>
    <t>AF070</t>
  </si>
  <si>
    <t>FLAREPIP</t>
  </si>
  <si>
    <t>BB199</t>
  </si>
  <si>
    <t>FLDRYDKS</t>
  </si>
  <si>
    <t>BI044</t>
  </si>
  <si>
    <t>FLDCTRLC</t>
  </si>
  <si>
    <t>FLDCTRLP</t>
  </si>
  <si>
    <t>FLDCTRLS</t>
  </si>
  <si>
    <t>BH070</t>
  </si>
  <si>
    <t>FORDC</t>
  </si>
  <si>
    <t>FORDP</t>
  </si>
  <si>
    <t>FORDS</t>
  </si>
  <si>
    <t>BA023</t>
  </si>
  <si>
    <t>FORESHRS</t>
  </si>
  <si>
    <t>EC015</t>
  </si>
  <si>
    <t>FORESTC</t>
  </si>
  <si>
    <t>EC060</t>
  </si>
  <si>
    <t>FORESTCS</t>
  </si>
  <si>
    <t>FORESTS</t>
  </si>
  <si>
    <t>AH055</t>
  </si>
  <si>
    <t>FRTBLDGP</t>
  </si>
  <si>
    <t>FRTBLDGS</t>
  </si>
  <si>
    <t>BD050</t>
  </si>
  <si>
    <t>FOULGRDP</t>
  </si>
  <si>
    <t>FOULGRDS</t>
  </si>
  <si>
    <t>BH075</t>
  </si>
  <si>
    <t>FOUNTINP</t>
  </si>
  <si>
    <t>FOUNTINS</t>
  </si>
  <si>
    <t>AM075</t>
  </si>
  <si>
    <t>StoragePnt</t>
  </si>
  <si>
    <t>FUELSTGP</t>
  </si>
  <si>
    <t>StorageSrf</t>
  </si>
  <si>
    <t>FUELSTGS</t>
  </si>
  <si>
    <t>AL080</t>
  </si>
  <si>
    <t>GANTRYC</t>
  </si>
  <si>
    <t>GANTRYP</t>
  </si>
  <si>
    <t>AP040</t>
  </si>
  <si>
    <t>GATEC</t>
  </si>
  <si>
    <t>GATEP</t>
  </si>
  <si>
    <t>BI070</t>
  </si>
  <si>
    <t>GAUGINGP</t>
  </si>
  <si>
    <t>ZB060</t>
  </si>
  <si>
    <t>GEODETCP</t>
  </si>
  <si>
    <t>DB110</t>
  </si>
  <si>
    <t>GEOFAULC</t>
  </si>
  <si>
    <t>FA002</t>
  </si>
  <si>
    <t>GEOPOLIS</t>
  </si>
  <si>
    <t>DB115</t>
  </si>
  <si>
    <t>GEOTHRMP</t>
  </si>
  <si>
    <t>GEOTHRMS</t>
  </si>
  <si>
    <t>BJ030</t>
  </si>
  <si>
    <t>GLACIERS</t>
  </si>
  <si>
    <t>AK100</t>
  </si>
  <si>
    <t>GOLFCRS</t>
  </si>
  <si>
    <t>AK101</t>
  </si>
  <si>
    <t>GOLFDRS</t>
  </si>
  <si>
    <t>AM030</t>
  </si>
  <si>
    <t>GRAINELP</t>
  </si>
  <si>
    <t>GRAINELS</t>
  </si>
  <si>
    <t>AM020</t>
  </si>
  <si>
    <t>GRAINSTP</t>
  </si>
  <si>
    <t>GRAINSTS</t>
  </si>
  <si>
    <t>AK110</t>
  </si>
  <si>
    <t>GRDSTNDP</t>
  </si>
  <si>
    <t>GRDSTNDS</t>
  </si>
  <si>
    <t>EB010</t>
  </si>
  <si>
    <t>GRASSLNS</t>
  </si>
  <si>
    <t>AJ110</t>
  </si>
  <si>
    <t>GREENHSP</t>
  </si>
  <si>
    <t>GREENHSS</t>
  </si>
  <si>
    <t>EC050</t>
  </si>
  <si>
    <t>VegetationPntExt</t>
  </si>
  <si>
    <t>GROVEP</t>
  </si>
  <si>
    <t>VegetationSrfExt</t>
  </si>
  <si>
    <t>GROVES</t>
  </si>
  <si>
    <t>BB005</t>
  </si>
  <si>
    <t>HARBOURS</t>
  </si>
  <si>
    <t>BB008</t>
  </si>
  <si>
    <t>HARBWTRS</t>
  </si>
  <si>
    <t>GB250</t>
  </si>
  <si>
    <t>HRDSHLTP</t>
  </si>
  <si>
    <t>HRDSHLTS</t>
  </si>
  <si>
    <t>BD130</t>
  </si>
  <si>
    <t>HAZROCKP</t>
  </si>
  <si>
    <t>AD050</t>
  </si>
  <si>
    <t>HEATINGP</t>
  </si>
  <si>
    <t>HEATINGS</t>
  </si>
  <si>
    <t>EA020</t>
  </si>
  <si>
    <t>HEDGERWC</t>
  </si>
  <si>
    <t>GB030</t>
  </si>
  <si>
    <t>HELIPADP</t>
  </si>
  <si>
    <t>HELIPADS</t>
  </si>
  <si>
    <t>GB035</t>
  </si>
  <si>
    <t>HELIPRTP</t>
  </si>
  <si>
    <t>HELIPRTS</t>
  </si>
  <si>
    <t>AJ030</t>
  </si>
  <si>
    <t>HOLDPENP</t>
  </si>
  <si>
    <t>HOLDPENS</t>
  </si>
  <si>
    <t>EA055</t>
  </si>
  <si>
    <t>HOPFLDS</t>
  </si>
  <si>
    <t>AF080</t>
  </si>
  <si>
    <t>HOPPERP</t>
  </si>
  <si>
    <t>BD181</t>
  </si>
  <si>
    <t>HULKP</t>
  </si>
  <si>
    <t>BH077</t>
  </si>
  <si>
    <t>HUMMOCKS</t>
  </si>
  <si>
    <t>AL099</t>
  </si>
  <si>
    <t>HUTP</t>
  </si>
  <si>
    <t>HUTS</t>
  </si>
  <si>
    <t>AC040</t>
  </si>
  <si>
    <t>HYCARBPP</t>
  </si>
  <si>
    <t>HYCARBPS</t>
  </si>
  <si>
    <t>AA052</t>
  </si>
  <si>
    <t>IndustryPntExt</t>
  </si>
  <si>
    <t>HYCARBFP</t>
  </si>
  <si>
    <t>HYCARBFS</t>
  </si>
  <si>
    <t>BJ099</t>
  </si>
  <si>
    <t>ICECAPS</t>
  </si>
  <si>
    <t>BJ040</t>
  </si>
  <si>
    <t>ICECLIFC</t>
  </si>
  <si>
    <t>BJ060</t>
  </si>
  <si>
    <t>ICEPEAKP</t>
  </si>
  <si>
    <t>AQ075</t>
  </si>
  <si>
    <t>ICERTEC</t>
  </si>
  <si>
    <t>BJ065</t>
  </si>
  <si>
    <t>ICESHLFS</t>
  </si>
  <si>
    <t>AL270</t>
  </si>
  <si>
    <t>INDFARMP</t>
  </si>
  <si>
    <t>INDFARMS</t>
  </si>
  <si>
    <t>AC060</t>
  </si>
  <si>
    <t>INDFURNP</t>
  </si>
  <si>
    <t>INDFURNS</t>
  </si>
  <si>
    <t>NM082</t>
  </si>
  <si>
    <t>INWTAONS</t>
  </si>
  <si>
    <t>BH082</t>
  </si>
  <si>
    <t>INWATERP</t>
  </si>
  <si>
    <t>INWATERS</t>
  </si>
  <si>
    <t>SU030</t>
  </si>
  <si>
    <t>INSTLNBC</t>
  </si>
  <si>
    <t>AL011</t>
  </si>
  <si>
    <t>INSTLNP</t>
  </si>
  <si>
    <t>INSTLNS</t>
  </si>
  <si>
    <t>BC080</t>
  </si>
  <si>
    <t>INNAVMKP</t>
  </si>
  <si>
    <t>AL201</t>
  </si>
  <si>
    <t>INTERSTP</t>
  </si>
  <si>
    <t>INTERSTS</t>
  </si>
  <si>
    <t>FA110</t>
  </si>
  <si>
    <t>DATELINC</t>
  </si>
  <si>
    <t>BA030</t>
  </si>
  <si>
    <t>ISLANDP</t>
  </si>
  <si>
    <t>ISLANDS</t>
  </si>
  <si>
    <t>BH190</t>
  </si>
  <si>
    <t>LAGOONS</t>
  </si>
  <si>
    <t>GB005</t>
  </si>
  <si>
    <t>AIRPORTP</t>
  </si>
  <si>
    <t>AIRPORTS</t>
  </si>
  <si>
    <t>IA040</t>
  </si>
  <si>
    <t>BoundarySrf</t>
  </si>
  <si>
    <t>PARCELS</t>
  </si>
  <si>
    <t>BH090</t>
  </si>
  <si>
    <t>INDUNDTS</t>
  </si>
  <si>
    <t>BA010</t>
  </si>
  <si>
    <t>LWBDRYC</t>
  </si>
  <si>
    <t>STB23</t>
  </si>
  <si>
    <t>LANDZNP</t>
  </si>
  <si>
    <t>AeronauticSrfExt</t>
  </si>
  <si>
    <t>LANDZNS</t>
  </si>
  <si>
    <t>DB211</t>
  </si>
  <si>
    <t>LANDSLDS</t>
  </si>
  <si>
    <t>GB040</t>
  </si>
  <si>
    <t>LNCHPADP</t>
  </si>
  <si>
    <t>LNCHPADS</t>
  </si>
  <si>
    <t>BC060</t>
  </si>
  <si>
    <t>LGHTSECP</t>
  </si>
  <si>
    <t>AL110</t>
  </si>
  <si>
    <t>LGHTSUPP</t>
  </si>
  <si>
    <t>BC070</t>
  </si>
  <si>
    <t>HydroAidNavigationPnt</t>
  </si>
  <si>
    <t>LGHTVSLP</t>
  </si>
  <si>
    <t>BC050</t>
  </si>
  <si>
    <t>LGHTHSEP</t>
  </si>
  <si>
    <t>HydroAidNavigationSrf</t>
  </si>
  <si>
    <t>LGHTHSES</t>
  </si>
  <si>
    <t>AB021</t>
  </si>
  <si>
    <t>LIQDIFFP</t>
  </si>
  <si>
    <t>ZC040</t>
  </si>
  <si>
    <t>InformationSrfExt</t>
  </si>
  <si>
    <t>LOCMAGAS</t>
  </si>
  <si>
    <t>BI030</t>
  </si>
  <si>
    <t>LOCKC</t>
  </si>
  <si>
    <t>LOCKP</t>
  </si>
  <si>
    <t>LOCKS</t>
  </si>
  <si>
    <t>EE010</t>
  </si>
  <si>
    <t>LOGGINGS</t>
  </si>
  <si>
    <t>AK121</t>
  </si>
  <si>
    <t>LOOKOUTP</t>
  </si>
  <si>
    <t>LOOKOUTS</t>
  </si>
  <si>
    <t>AL371</t>
  </si>
  <si>
    <t>MANORP</t>
  </si>
  <si>
    <t>MANORS</t>
  </si>
  <si>
    <t>AI021</t>
  </si>
  <si>
    <t>MANHOMES</t>
  </si>
  <si>
    <t>BH050</t>
  </si>
  <si>
    <t>MARICULS</t>
  </si>
  <si>
    <t>FC037</t>
  </si>
  <si>
    <t>MARCAUTS</t>
  </si>
  <si>
    <t>FC021</t>
  </si>
  <si>
    <t>MARLIMTC</t>
  </si>
  <si>
    <t>BC041</t>
  </si>
  <si>
    <t>MARNLSSP</t>
  </si>
  <si>
    <t>BC010</t>
  </si>
  <si>
    <t>MARNBEAP</t>
  </si>
  <si>
    <t>BC040</t>
  </si>
  <si>
    <t>MARNLGTP</t>
  </si>
  <si>
    <t>BC055</t>
  </si>
  <si>
    <t>MARNMRKP</t>
  </si>
  <si>
    <t>FC130</t>
  </si>
  <si>
    <t>HydroAidNavigationCrvExt</t>
  </si>
  <si>
    <t>MARREFRC</t>
  </si>
  <si>
    <t>BC034</t>
  </si>
  <si>
    <t>MARRBEAP</t>
  </si>
  <si>
    <t>FC165</t>
  </si>
  <si>
    <t>MARRTEC</t>
  </si>
  <si>
    <t>MARRTES</t>
  </si>
  <si>
    <t>BB155</t>
  </si>
  <si>
    <t>MARSIGLP</t>
  </si>
  <si>
    <t>ED010</t>
  </si>
  <si>
    <t>MARSHS</t>
  </si>
  <si>
    <t>FC100</t>
  </si>
  <si>
    <t>MSRDISTC</t>
  </si>
  <si>
    <t>AL130</t>
  </si>
  <si>
    <t>CultureCrv</t>
  </si>
  <si>
    <t>MEMOMONC</t>
  </si>
  <si>
    <t>MEMOMONP</t>
  </si>
  <si>
    <t>MEMOMONS</t>
  </si>
  <si>
    <t>STBM1</t>
  </si>
  <si>
    <t>MilitaryCrvExt</t>
  </si>
  <si>
    <t>MILBDRYC</t>
  </si>
  <si>
    <t>SU001</t>
  </si>
  <si>
    <t>MILINSTP</t>
  </si>
  <si>
    <t>MILINSTS</t>
  </si>
  <si>
    <t>AA020</t>
  </si>
  <si>
    <t>MINESHFP</t>
  </si>
  <si>
    <t>MINESHFS</t>
  </si>
  <si>
    <t>AL065</t>
  </si>
  <si>
    <t>MINEFLDS</t>
  </si>
  <si>
    <t>AM040</t>
  </si>
  <si>
    <t>MINPILEP</t>
  </si>
  <si>
    <t>MINPILES</t>
  </si>
  <si>
    <t>AL120</t>
  </si>
  <si>
    <t>MISSILEP</t>
  </si>
  <si>
    <t>MISSILES</t>
  </si>
  <si>
    <t>BH100</t>
  </si>
  <si>
    <t>MOATC</t>
  </si>
  <si>
    <t>MOATS</t>
  </si>
  <si>
    <t>AQ110</t>
  </si>
  <si>
    <t>MOORINGP</t>
  </si>
  <si>
    <t>BJ020</t>
  </si>
  <si>
    <t>MORAINES</t>
  </si>
  <si>
    <t>AQ170</t>
  </si>
  <si>
    <t>MOTRVEHP</t>
  </si>
  <si>
    <t>MOTRVEHS</t>
  </si>
  <si>
    <t>DB150</t>
  </si>
  <si>
    <t>MTNPASSP</t>
  </si>
  <si>
    <t>AM065</t>
  </si>
  <si>
    <t>MUNSTRGP</t>
  </si>
  <si>
    <t>MUNSTRGS</t>
  </si>
  <si>
    <t>ZD040</t>
  </si>
  <si>
    <t>InformationCrvExt</t>
  </si>
  <si>
    <t>NAMELOCC</t>
  </si>
  <si>
    <t>NAMELOCP</t>
  </si>
  <si>
    <t>NAMELOCS</t>
  </si>
  <si>
    <t>NM170</t>
  </si>
  <si>
    <t>NATPAONS</t>
  </si>
  <si>
    <t>BH170</t>
  </si>
  <si>
    <t>NATPOOLP</t>
  </si>
  <si>
    <t>NATPOOLS</t>
  </si>
  <si>
    <t>BB115</t>
  </si>
  <si>
    <t>NGRIDIRNS</t>
  </si>
  <si>
    <t>NM020</t>
  </si>
  <si>
    <t>TransportationWaterAONExt</t>
  </si>
  <si>
    <t>NVCANLAONS</t>
  </si>
  <si>
    <t>BH020</t>
  </si>
  <si>
    <t>NVCANALC</t>
  </si>
  <si>
    <t>NVCANALS</t>
  </si>
  <si>
    <t>AL024</t>
  </si>
  <si>
    <t>SettlementSrfExt</t>
  </si>
  <si>
    <t>NGHBRHDS</t>
  </si>
  <si>
    <t>AL014</t>
  </si>
  <si>
    <t>NONBLDGP</t>
  </si>
  <si>
    <t>NONBLDGS</t>
  </si>
  <si>
    <t>AA054</t>
  </si>
  <si>
    <t>NOWWELLP</t>
  </si>
  <si>
    <t>AD041</t>
  </si>
  <si>
    <t>NUCLEARP</t>
  </si>
  <si>
    <t>NUCLEARS</t>
  </si>
  <si>
    <t>EC020</t>
  </si>
  <si>
    <t>OASISP</t>
  </si>
  <si>
    <t>OASISS</t>
  </si>
  <si>
    <t>AG040</t>
  </si>
  <si>
    <t>OFFCPRKS</t>
  </si>
  <si>
    <t>BD115</t>
  </si>
  <si>
    <t>OFFSHORP</t>
  </si>
  <si>
    <t>OFFSHORS</t>
  </si>
  <si>
    <t>EA040</t>
  </si>
  <si>
    <t>AgriculturePntExt</t>
  </si>
  <si>
    <t>ORCHARDP</t>
  </si>
  <si>
    <t>ORCHARDS</t>
  </si>
  <si>
    <t>AK080</t>
  </si>
  <si>
    <t>OUTDRTHC</t>
  </si>
  <si>
    <t>OUTDRTHP</t>
  </si>
  <si>
    <t>AL155</t>
  </si>
  <si>
    <t>OVEROBSC</t>
  </si>
  <si>
    <t>OVEROBSP</t>
  </si>
  <si>
    <t>BJ070</t>
  </si>
  <si>
    <t>PACKICEC</t>
  </si>
  <si>
    <t>PACKICES</t>
  </si>
  <si>
    <t>AK120</t>
  </si>
  <si>
    <t>PARKS</t>
  </si>
  <si>
    <t>AQ141</t>
  </si>
  <si>
    <t>GARAGEP</t>
  </si>
  <si>
    <t>GARAGES</t>
  </si>
  <si>
    <t>AL140</t>
  </si>
  <si>
    <t>PARTACCC</t>
  </si>
  <si>
    <t>StructurePntExt</t>
  </si>
  <si>
    <t>PARTACCP</t>
  </si>
  <si>
    <t>PARTACCS</t>
  </si>
  <si>
    <t>BH110</t>
  </si>
  <si>
    <t>PENSTCKC</t>
  </si>
  <si>
    <t>AK061</t>
  </si>
  <si>
    <t>PICNICS</t>
  </si>
  <si>
    <t>NU113</t>
  </si>
  <si>
    <t>UtilityInfrastructureAONExt</t>
  </si>
  <si>
    <t>PIPEAONS</t>
  </si>
  <si>
    <t>AQ113</t>
  </si>
  <si>
    <t>PIPELINC</t>
  </si>
  <si>
    <t>AL165</t>
  </si>
  <si>
    <t>PIPECRSP</t>
  </si>
  <si>
    <t>EA030</t>
  </si>
  <si>
    <t>NURSERYS</t>
  </si>
  <si>
    <t>BJ080</t>
  </si>
  <si>
    <t>POLRICES</t>
  </si>
  <si>
    <t>BB009</t>
  </si>
  <si>
    <t>PortHarbourPnt</t>
  </si>
  <si>
    <t>PORTP</t>
  </si>
  <si>
    <t>PORTS</t>
  </si>
  <si>
    <t>AD030</t>
  </si>
  <si>
    <t>PWRSSTAP</t>
  </si>
  <si>
    <t>PWRSSTAS</t>
  </si>
  <si>
    <t>AQ111</t>
  </si>
  <si>
    <t>PRPWTRCP</t>
  </si>
  <si>
    <t>AL170</t>
  </si>
  <si>
    <t>PBLICSQP</t>
  </si>
  <si>
    <t>PBLICSQS</t>
  </si>
  <si>
    <t>T0181</t>
  </si>
  <si>
    <t>UtilityInfrastructurePntExt</t>
  </si>
  <si>
    <t>PUMPP</t>
  </si>
  <si>
    <t>NU116</t>
  </si>
  <si>
    <t>PUMPAONS</t>
  </si>
  <si>
    <t>AQ116</t>
  </si>
  <si>
    <t>PUMPSTAP</t>
  </si>
  <si>
    <t>PUMPSTAS</t>
  </si>
  <si>
    <t>AT042</t>
  </si>
  <si>
    <t>PYLONP</t>
  </si>
  <si>
    <t>BH012</t>
  </si>
  <si>
    <t>QANATP</t>
  </si>
  <si>
    <t>AK130</t>
  </si>
  <si>
    <t>RACETRKC</t>
  </si>
  <si>
    <t>RACETRKS</t>
  </si>
  <si>
    <t>AT045</t>
  </si>
  <si>
    <t>RADARSTP</t>
  </si>
  <si>
    <t>RADARSTS</t>
  </si>
  <si>
    <t>AN010</t>
  </si>
  <si>
    <t>RAILWAYC</t>
  </si>
  <si>
    <t>AN050</t>
  </si>
  <si>
    <t>RRSIDETC</t>
  </si>
  <si>
    <t>AN085</t>
  </si>
  <si>
    <t>RRSIGNLP</t>
  </si>
  <si>
    <t>AN075</t>
  </si>
  <si>
    <t>RRTURNTP</t>
  </si>
  <si>
    <t>RRTURNTS</t>
  </si>
  <si>
    <t>AN060</t>
  </si>
  <si>
    <t>RRYARDP</t>
  </si>
  <si>
    <t>RRYARDS</t>
  </si>
  <si>
    <t>AL195</t>
  </si>
  <si>
    <t>RAMPC</t>
  </si>
  <si>
    <t>RAMPS</t>
  </si>
  <si>
    <t>BH120</t>
  </si>
  <si>
    <t>RAPIDSC</t>
  </si>
  <si>
    <t>RAPIDSP</t>
  </si>
  <si>
    <t>RAPIDSS</t>
  </si>
  <si>
    <t>AB010</t>
  </si>
  <si>
    <t>RECYCLES</t>
  </si>
  <si>
    <t>BD120</t>
  </si>
  <si>
    <t>REEFC</t>
  </si>
  <si>
    <t>REEFS</t>
  </si>
  <si>
    <t>ZI002</t>
  </si>
  <si>
    <t>RESTRICT</t>
  </si>
  <si>
    <t>AL180</t>
  </si>
  <si>
    <t>RETAILS</t>
  </si>
  <si>
    <t>BH135</t>
  </si>
  <si>
    <t>RICEFLDS</t>
  </si>
  <si>
    <t>AA040</t>
  </si>
  <si>
    <t>RIGP</t>
  </si>
  <si>
    <t>RIGS</t>
  </si>
  <si>
    <t>NM140</t>
  </si>
  <si>
    <t>RIVRAONS</t>
  </si>
  <si>
    <t>BH140</t>
  </si>
  <si>
    <t>RIVERC</t>
  </si>
  <si>
    <t>RIVERS</t>
  </si>
  <si>
    <t>AP030</t>
  </si>
  <si>
    <t>ROADC</t>
  </si>
  <si>
    <t>AP020</t>
  </si>
  <si>
    <t>ROADINTP</t>
  </si>
  <si>
    <t>ROADS</t>
  </si>
  <si>
    <t>AQ135</t>
  </si>
  <si>
    <t>ROADRSTP</t>
  </si>
  <si>
    <t>ROADRSTS</t>
  </si>
  <si>
    <t>DB160</t>
  </si>
  <si>
    <t>ROCKFRMP</t>
  </si>
  <si>
    <t>ROCKFRMS</t>
  </si>
  <si>
    <t>AN076</t>
  </si>
  <si>
    <t>RNDHOUSP</t>
  </si>
  <si>
    <t>RNDHOUSS</t>
  </si>
  <si>
    <t>AL200</t>
  </si>
  <si>
    <t>RUINSP</t>
  </si>
  <si>
    <t>RUINSS</t>
  </si>
  <si>
    <t>GB055</t>
  </si>
  <si>
    <t>RUNWAYS</t>
  </si>
  <si>
    <t>NM160</t>
  </si>
  <si>
    <t>PhysiographyAONExt</t>
  </si>
  <si>
    <t>SABKAONS</t>
  </si>
  <si>
    <t>BH160</t>
  </si>
  <si>
    <t>SABKHAS</t>
  </si>
  <si>
    <t>BH155</t>
  </si>
  <si>
    <t>SALTEVPP</t>
  </si>
  <si>
    <t>SALTEVPS</t>
  </si>
  <si>
    <t>BH150</t>
  </si>
  <si>
    <t>SALTFLTS</t>
  </si>
  <si>
    <t>DB170</t>
  </si>
  <si>
    <t>SANDDUNS</t>
  </si>
  <si>
    <t>AK161</t>
  </si>
  <si>
    <t>SCOREBDP</t>
  </si>
  <si>
    <t>GB070</t>
  </si>
  <si>
    <t>SEAPLANS</t>
  </si>
  <si>
    <t>AL105</t>
  </si>
  <si>
    <t>SETLMNTP</t>
  </si>
  <si>
    <t>SETLMNTS</t>
  </si>
  <si>
    <t>AC030</t>
  </si>
  <si>
    <t>SETPONDS</t>
  </si>
  <si>
    <t>AC507</t>
  </si>
  <si>
    <t>SEWGETRP</t>
  </si>
  <si>
    <t>SEWGETRS</t>
  </si>
  <si>
    <t>AL208</t>
  </si>
  <si>
    <t>SHANTYTP</t>
  </si>
  <si>
    <t>SHANTYTS</t>
  </si>
  <si>
    <t>AQ118</t>
  </si>
  <si>
    <t>SHRPCRVP</t>
  </si>
  <si>
    <t>AA011</t>
  </si>
  <si>
    <t>SHEARWLC</t>
  </si>
  <si>
    <t>AL019</t>
  </si>
  <si>
    <t>SHEDP</t>
  </si>
  <si>
    <t>SHEDS</t>
  </si>
  <si>
    <t>BI006</t>
  </si>
  <si>
    <t>SHIPELVC</t>
  </si>
  <si>
    <t>SHIPELVP</t>
  </si>
  <si>
    <t>SHIPELVS</t>
  </si>
  <si>
    <t>AM011</t>
  </si>
  <si>
    <t>SHIPCTRP</t>
  </si>
  <si>
    <t>SHIPCTRS</t>
  </si>
  <si>
    <t>BB241</t>
  </si>
  <si>
    <t>SHIPYDP</t>
  </si>
  <si>
    <t>SHIPYDS</t>
  </si>
  <si>
    <t>AG030</t>
  </si>
  <si>
    <t>SHOPINGS</t>
  </si>
  <si>
    <t>BA024</t>
  </si>
  <si>
    <t>SHORELNC</t>
  </si>
  <si>
    <t>BB081</t>
  </si>
  <si>
    <t>PortHarbourCrv</t>
  </si>
  <si>
    <t>SHORECNC</t>
  </si>
  <si>
    <t>SHORECNS</t>
  </si>
  <si>
    <t>BB082</t>
  </si>
  <si>
    <t>SHORERPC</t>
  </si>
  <si>
    <t>SHORERPS</t>
  </si>
  <si>
    <t>AQ035</t>
  </si>
  <si>
    <t>SIDEWLKC</t>
  </si>
  <si>
    <t>AK150</t>
  </si>
  <si>
    <t>SKIJUMPC</t>
  </si>
  <si>
    <t>SKIJUMPP</t>
  </si>
  <si>
    <t>AK155</t>
  </si>
  <si>
    <t>SKIRUNC</t>
  </si>
  <si>
    <t>SKIRUNS</t>
  </si>
  <si>
    <t>SA050</t>
  </si>
  <si>
    <t>SLOPES</t>
  </si>
  <si>
    <t>BI040</t>
  </si>
  <si>
    <t>SLUICEGC</t>
  </si>
  <si>
    <t>SLUICEGP</t>
  </si>
  <si>
    <t>BB201</t>
  </si>
  <si>
    <t>SMCRAFTP</t>
  </si>
  <si>
    <t>SMCRAFTS</t>
  </si>
  <si>
    <t>AF010</t>
  </si>
  <si>
    <t>SMKSTCKP</t>
  </si>
  <si>
    <t>BD140</t>
  </si>
  <si>
    <t>SNAGP</t>
  </si>
  <si>
    <t>SNAGS</t>
  </si>
  <si>
    <t>BJ100</t>
  </si>
  <si>
    <t>SNOWFLDS</t>
  </si>
  <si>
    <t>DA010</t>
  </si>
  <si>
    <t>SOILSRFS</t>
  </si>
  <si>
    <t>AD025</t>
  </si>
  <si>
    <t>SOLARFMP</t>
  </si>
  <si>
    <t>SOLARFMS</t>
  </si>
  <si>
    <t>AD020</t>
  </si>
  <si>
    <t>SOLARPNP</t>
  </si>
  <si>
    <t>SOLARPNS</t>
  </si>
  <si>
    <t>BE020</t>
  </si>
  <si>
    <t>SOUNDNGP</t>
  </si>
  <si>
    <t>AL351</t>
  </si>
  <si>
    <t>SPACEFAP</t>
  </si>
  <si>
    <t>SPACEFAS</t>
  </si>
  <si>
    <t>BH165</t>
  </si>
  <si>
    <t>SPILLWYC</t>
  </si>
  <si>
    <t>SPILLWYS</t>
  </si>
  <si>
    <t>AK040</t>
  </si>
  <si>
    <t>SPORTGRP</t>
  </si>
  <si>
    <t>SPORTGRS</t>
  </si>
  <si>
    <t>CA030</t>
  </si>
  <si>
    <t>HypsographyPnt</t>
  </si>
  <si>
    <t>SPOTELVP</t>
  </si>
  <si>
    <t>AJ080</t>
  </si>
  <si>
    <t>STABLEP</t>
  </si>
  <si>
    <t>STABLES</t>
  </si>
  <si>
    <t>AK160</t>
  </si>
  <si>
    <t>STADIUMP</t>
  </si>
  <si>
    <t>STADIUMS</t>
  </si>
  <si>
    <t>AQ150</t>
  </si>
  <si>
    <t>STAIRC</t>
  </si>
  <si>
    <t>STAIRS</t>
  </si>
  <si>
    <t>STDPP</t>
  </si>
  <si>
    <t>STDPIPEP</t>
  </si>
  <si>
    <t>AQ120</t>
  </si>
  <si>
    <t>STPGRADC</t>
  </si>
  <si>
    <t>DB010</t>
  </si>
  <si>
    <t>STPTERFC</t>
  </si>
  <si>
    <t>GB045</t>
  </si>
  <si>
    <t>STOPWAYS</t>
  </si>
  <si>
    <t>AM010</t>
  </si>
  <si>
    <t>STGDEPOP</t>
  </si>
  <si>
    <t>STGDEPOS</t>
  </si>
  <si>
    <t>NU070</t>
  </si>
  <si>
    <t>StorageAONExt</t>
  </si>
  <si>
    <t>STTKAONS</t>
  </si>
  <si>
    <t>AM070</t>
  </si>
  <si>
    <t>STGTANKP</t>
  </si>
  <si>
    <t>STGTANKS</t>
  </si>
  <si>
    <t>AQ114</t>
  </si>
  <si>
    <t>STRMDRNP</t>
  </si>
  <si>
    <t>AQ161</t>
  </si>
  <si>
    <t>STLAMPP</t>
  </si>
  <si>
    <t>AQ162</t>
  </si>
  <si>
    <t>STSIGNP</t>
  </si>
  <si>
    <t>BD100</t>
  </si>
  <si>
    <t>STRUCPLP</t>
  </si>
  <si>
    <t>STRUCPLS</t>
  </si>
  <si>
    <t>AM060</t>
  </si>
  <si>
    <t>SRFCBNKP</t>
  </si>
  <si>
    <t>SRFCBNKS</t>
  </si>
  <si>
    <t>ZB050</t>
  </si>
  <si>
    <t>SURVEYP</t>
  </si>
  <si>
    <t>ED020</t>
  </si>
  <si>
    <t>SWAMPS</t>
  </si>
  <si>
    <t>FC177</t>
  </si>
  <si>
    <t>SWEPTS</t>
  </si>
  <si>
    <t>NU170</t>
  </si>
  <si>
    <t>RecreationAONExt</t>
  </si>
  <si>
    <t>SWMPAONS</t>
  </si>
  <si>
    <t>AK170</t>
  </si>
  <si>
    <t>SWMPOOLP</t>
  </si>
  <si>
    <t>SWMPOOLS</t>
  </si>
  <si>
    <t>AP056</t>
  </si>
  <si>
    <t>TANKCRSP</t>
  </si>
  <si>
    <t>TANKCRSS</t>
  </si>
  <si>
    <t>AM071</t>
  </si>
  <si>
    <t>TANKFRMP</t>
  </si>
  <si>
    <t>TANKFRMS</t>
  </si>
  <si>
    <t>AP055</t>
  </si>
  <si>
    <t>TANKTRLC</t>
  </si>
  <si>
    <t>TANKTRLS</t>
  </si>
  <si>
    <t>GB075</t>
  </si>
  <si>
    <t>AeronauticCrv</t>
  </si>
  <si>
    <t>TAXIWAYC</t>
  </si>
  <si>
    <t>TAXIWAYS</t>
  </si>
  <si>
    <t>FA100</t>
  </si>
  <si>
    <t>TESTS</t>
  </si>
  <si>
    <t>AL510</t>
  </si>
  <si>
    <t>TETHBALP</t>
  </si>
  <si>
    <t>EB020</t>
  </si>
  <si>
    <t>THICKETS</t>
  </si>
  <si>
    <t>BG030</t>
  </si>
  <si>
    <t>TIDOBSSP</t>
  </si>
  <si>
    <t>BA040</t>
  </si>
  <si>
    <t>TIDWATRS</t>
  </si>
  <si>
    <t>AL036</t>
  </si>
  <si>
    <t>TOMBP</t>
  </si>
  <si>
    <t>TOMBS</t>
  </si>
  <si>
    <t>AL241</t>
  </si>
  <si>
    <t>TOWERP</t>
  </si>
  <si>
    <t>TOWERS</t>
  </si>
  <si>
    <t>AQ160</t>
  </si>
  <si>
    <t>TRAFLGTP</t>
  </si>
  <si>
    <t>FC041</t>
  </si>
  <si>
    <t>TRAFSEPC</t>
  </si>
  <si>
    <t>TRAFSEPP</t>
  </si>
  <si>
    <t>TRAFSEPS</t>
  </si>
  <si>
    <t>AP050</t>
  </si>
  <si>
    <t>TRAILC</t>
  </si>
  <si>
    <t>FA165</t>
  </si>
  <si>
    <t>TRAINNGP</t>
  </si>
  <si>
    <t>TRAINNGS</t>
  </si>
  <si>
    <t>AQ059</t>
  </si>
  <si>
    <t>TRRTECCC</t>
  </si>
  <si>
    <t>TRRTECCP</t>
  </si>
  <si>
    <t>AL211</t>
  </si>
  <si>
    <t>TRRTEPSC</t>
  </si>
  <si>
    <t>TRRTEPSP</t>
  </si>
  <si>
    <t>TRRTEPSS</t>
  </si>
  <si>
    <t>AQ068</t>
  </si>
  <si>
    <t>TRBLOCKP</t>
  </si>
  <si>
    <t>TRBLOCKS</t>
  </si>
  <si>
    <t>AQ125</t>
  </si>
  <si>
    <t>TRSTATNP</t>
  </si>
  <si>
    <t>TRSTATNS</t>
  </si>
  <si>
    <t>EC005</t>
  </si>
  <si>
    <t>VegetationPnt</t>
  </si>
  <si>
    <t>TREEP</t>
  </si>
  <si>
    <t>BJ110</t>
  </si>
  <si>
    <t>TUNDRAS</t>
  </si>
  <si>
    <t>AQ130</t>
  </si>
  <si>
    <t>TUNNELC</t>
  </si>
  <si>
    <t>AQ095</t>
  </si>
  <si>
    <t>TUNNELMP</t>
  </si>
  <si>
    <t>TUNNELS</t>
  </si>
  <si>
    <t>AH060</t>
  </si>
  <si>
    <t>UNGDBNKP</t>
  </si>
  <si>
    <t>UNGDBNKS</t>
  </si>
  <si>
    <t>AL250</t>
  </si>
  <si>
    <t>UNGDDWLP</t>
  </si>
  <si>
    <t>AQ115</t>
  </si>
  <si>
    <t>UTILACCPTP</t>
  </si>
  <si>
    <t>BH145</t>
  </si>
  <si>
    <t>VANISHP</t>
  </si>
  <si>
    <t>AP041</t>
  </si>
  <si>
    <t>VEHBARRC</t>
  </si>
  <si>
    <t>VEHBARRP</t>
  </si>
  <si>
    <t>AQ140</t>
  </si>
  <si>
    <t>VEHLOTS</t>
  </si>
  <si>
    <t>BI005</t>
  </si>
  <si>
    <t>VESSELS</t>
  </si>
  <si>
    <t>EA050</t>
  </si>
  <si>
    <t>VINEYDP</t>
  </si>
  <si>
    <t>VINEYDS</t>
  </si>
  <si>
    <t>ZD020</t>
  </si>
  <si>
    <t>VOIDCOLS</t>
  </si>
  <si>
    <t>DB190</t>
  </si>
  <si>
    <t>VOLDYKEC</t>
  </si>
  <si>
    <t>DB180</t>
  </si>
  <si>
    <t>VOLCANOP</t>
  </si>
  <si>
    <t>VOLCANOS</t>
  </si>
  <si>
    <t>AL260</t>
  </si>
  <si>
    <t>WALLC</t>
  </si>
  <si>
    <t>AB507</t>
  </si>
  <si>
    <t>WASTEHP</t>
  </si>
  <si>
    <t>WASTEHS</t>
  </si>
  <si>
    <t>GB065</t>
  </si>
  <si>
    <t>WTRAEROP</t>
  </si>
  <si>
    <t>WTRAEROS</t>
  </si>
  <si>
    <t>BI050</t>
  </si>
  <si>
    <t>WTRITWRP</t>
  </si>
  <si>
    <t>WTRITWRS</t>
  </si>
  <si>
    <t>ZD070</t>
  </si>
  <si>
    <t>WTRMLOCP</t>
  </si>
  <si>
    <t>WTRMLOCS</t>
  </si>
  <si>
    <t>AJ055</t>
  </si>
  <si>
    <t>WTRMILLP</t>
  </si>
  <si>
    <t>WTRMILLS</t>
  </si>
  <si>
    <t>BG010</t>
  </si>
  <si>
    <t>WTRMOVEP</t>
  </si>
  <si>
    <t>BH065</t>
  </si>
  <si>
    <t>WTRRACEC</t>
  </si>
  <si>
    <t>AM080</t>
  </si>
  <si>
    <t>WTRTWRP</t>
  </si>
  <si>
    <t>WTRTWRS</t>
  </si>
  <si>
    <t>BH040</t>
  </si>
  <si>
    <t>WTRTBEDS</t>
  </si>
  <si>
    <t>BG012</t>
  </si>
  <si>
    <t>WTRTURBC</t>
  </si>
  <si>
    <t>WTRTURBP</t>
  </si>
  <si>
    <t>WTRTURBS</t>
  </si>
  <si>
    <t>NM230</t>
  </si>
  <si>
    <t>WTRWAONS</t>
  </si>
  <si>
    <t>BH230</t>
  </si>
  <si>
    <t>WTRWELLP</t>
  </si>
  <si>
    <t>WTRWELLS</t>
  </si>
  <si>
    <t>FC035</t>
  </si>
  <si>
    <t>WBDYDIVS</t>
  </si>
  <si>
    <t>BH180</t>
  </si>
  <si>
    <t>WTRFALLC</t>
  </si>
  <si>
    <t>WTRFALLP</t>
  </si>
  <si>
    <t>BH220</t>
  </si>
  <si>
    <t>WTRWORKP</t>
  </si>
  <si>
    <t>WTRWORKS</t>
  </si>
  <si>
    <t>AD060</t>
  </si>
  <si>
    <t>WINDFRMP</t>
  </si>
  <si>
    <t>WINDFRMS</t>
  </si>
  <si>
    <t>AJ051</t>
  </si>
  <si>
    <t>WINDTRBP</t>
  </si>
  <si>
    <t>AJ050</t>
  </si>
  <si>
    <t>WINDMILP</t>
  </si>
  <si>
    <t>WINDMILS</t>
  </si>
  <si>
    <t>BD180</t>
  </si>
  <si>
    <t>WRECKP</t>
  </si>
  <si>
    <t>WRECKS</t>
  </si>
  <si>
    <t>AK180</t>
  </si>
  <si>
    <t>ZOOP</t>
  </si>
  <si>
    <t>ZOOS</t>
  </si>
  <si>
    <t>renamed from UTILITY_COVER_P</t>
  </si>
  <si>
    <t>renamed from ADMINISTRATIVE_DIVISION_S</t>
  </si>
  <si>
    <t>renamed from ARCHEOLOGICAL_SITE_P</t>
  </si>
  <si>
    <t>renamed from ARCHEOLOGICAL_SITE_S</t>
  </si>
  <si>
    <t>new</t>
  </si>
  <si>
    <t>renamed from CANAL_AON_S</t>
  </si>
  <si>
    <t>renamed from CANAL_C</t>
  </si>
  <si>
    <t>renamed from CANAL_S</t>
  </si>
  <si>
    <t>GGDM22 differences</t>
  </si>
  <si>
    <t>renamed from GRIDIRON_S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</si>
</sst>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8"/>
      <color indexed="18"/>
      <name val="Arial"/>
      <family val="2"/>
    </font>
    <font>
      <b/>
      <sz val="7"/>
      <color indexed="17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0" xfId="2" applyAlignment="1" applyProtection="1"/>
    <xf numFmtId="0" fontId="4" fillId="5" borderId="0" xfId="2" applyFill="1" applyAlignment="1" applyProtection="1"/>
    <xf numFmtId="0" fontId="0" fillId="0" borderId="0" xfId="0" applyFill="1"/>
    <xf numFmtId="0" fontId="4" fillId="0" borderId="0" xfId="2" applyFill="1" applyAlignment="1" applyProtection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5"/>
  <sheetViews>
    <sheetView tabSelected="1" zoomScale="90" zoomScaleNormal="90" workbookViewId="0">
      <pane ySplit="1" topLeftCell="A2" activePane="bottomLeft" state="frozen"/>
      <selection pane="bottomLeft" activeCell="B34" sqref="B34"/>
    </sheetView>
  </sheetViews>
  <sheetFormatPr defaultRowHeight="12.75" x14ac:dyDescent="0.2"/>
  <cols>
    <col min="1" max="1" width="9" customWidth="1"/>
    <col min="2" max="2" width="40.5703125" customWidth="1"/>
    <col min="3" max="3" width="19.28515625" customWidth="1"/>
    <col min="4" max="4" width="20.5703125" customWidth="1"/>
    <col min="5" max="5" width="21.85546875" customWidth="1"/>
    <col min="6" max="6" width="22.85546875" customWidth="1"/>
    <col min="7" max="7" width="26.140625" customWidth="1"/>
    <col min="8" max="8" width="11.85546875" customWidth="1"/>
    <col min="9" max="9" width="13.28515625" customWidth="1"/>
    <col min="10" max="10" width="11.5703125" customWidth="1"/>
    <col min="11" max="11" width="41.7109375" bestFit="1" customWidth="1"/>
  </cols>
  <sheetData>
    <row r="1" spans="1:11" s="5" customFormat="1" ht="30" customHeight="1" x14ac:dyDescent="0.2">
      <c r="A1" s="1" t="s">
        <v>1</v>
      </c>
      <c r="B1" s="1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1145</v>
      </c>
    </row>
    <row r="2" spans="1:11" x14ac:dyDescent="0.2">
      <c r="A2" t="s">
        <v>10</v>
      </c>
      <c r="B2" s="6" t="str">
        <f>HYPERLINK("[#]Feature_Schema_1!A3:F3","ADMINISTRATIVE_BOUNDARY_C")</f>
        <v>ADMINISTRATIVE_BOUNDARY_C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  <c r="H2">
        <v>100405</v>
      </c>
      <c r="I2" t="s">
        <v>12</v>
      </c>
    </row>
    <row r="3" spans="1:11" x14ac:dyDescent="0.2">
      <c r="A3" t="s">
        <v>13</v>
      </c>
      <c r="B3" s="7" t="str">
        <f>HYPERLINK("[#]Feature_Schema_1!A140:F140","ADMINISTRATIVE_SUBDIVISION_S")</f>
        <v>ADMINISTRATIVE_SUBDIVISION_S</v>
      </c>
      <c r="C3" t="s">
        <v>14</v>
      </c>
      <c r="D3" t="s">
        <v>14</v>
      </c>
      <c r="E3" t="s">
        <v>14</v>
      </c>
      <c r="F3" t="s">
        <v>14</v>
      </c>
      <c r="G3" t="s">
        <v>14</v>
      </c>
      <c r="H3">
        <v>100407</v>
      </c>
      <c r="I3" t="s">
        <v>15</v>
      </c>
      <c r="K3" t="s">
        <v>1138</v>
      </c>
    </row>
    <row r="4" spans="1:11" x14ac:dyDescent="0.2">
      <c r="A4" t="s">
        <v>16</v>
      </c>
      <c r="B4" s="6" t="str">
        <f>HYPERLINK("[#]Feature_Schema_1!A184:F184","AERATION_BASIN_S")</f>
        <v>AERATION_BASIN_S</v>
      </c>
      <c r="E4" s="8" t="s">
        <v>17</v>
      </c>
      <c r="F4" t="s">
        <v>17</v>
      </c>
      <c r="G4" t="s">
        <v>17</v>
      </c>
      <c r="H4">
        <v>100010</v>
      </c>
      <c r="I4" t="s">
        <v>18</v>
      </c>
    </row>
    <row r="5" spans="1:11" x14ac:dyDescent="0.2">
      <c r="A5" t="s">
        <v>19</v>
      </c>
      <c r="B5" s="6" t="str">
        <f>HYPERLINK("[#]Feature_Schema_1!A266:F266","AERIAL_FARM_P")</f>
        <v>AERIAL_FARM_P</v>
      </c>
      <c r="C5" t="s">
        <v>20</v>
      </c>
      <c r="D5" t="s">
        <v>20</v>
      </c>
      <c r="E5" t="s">
        <v>20</v>
      </c>
      <c r="F5" t="s">
        <v>20</v>
      </c>
      <c r="G5" t="s">
        <v>20</v>
      </c>
      <c r="H5">
        <v>100202</v>
      </c>
      <c r="I5" t="s">
        <v>21</v>
      </c>
    </row>
    <row r="6" spans="1:11" x14ac:dyDescent="0.2">
      <c r="A6" t="s">
        <v>19</v>
      </c>
      <c r="B6" s="6" t="str">
        <f>HYPERLINK("[#]Feature_Schema_1!A369:F369","AERIAL_FARM_S")</f>
        <v>AERIAL_FARM_S</v>
      </c>
      <c r="C6" t="s">
        <v>22</v>
      </c>
      <c r="D6" t="s">
        <v>22</v>
      </c>
      <c r="E6" t="s">
        <v>22</v>
      </c>
      <c r="F6" t="s">
        <v>22</v>
      </c>
      <c r="G6" t="s">
        <v>22</v>
      </c>
      <c r="H6">
        <v>100202</v>
      </c>
      <c r="I6" t="s">
        <v>23</v>
      </c>
    </row>
    <row r="7" spans="1:11" x14ac:dyDescent="0.2">
      <c r="A7" t="s">
        <v>24</v>
      </c>
      <c r="B7" s="6" t="str">
        <f>HYPERLINK("[#]Feature_Schema_1!A472:F472","AERIAL_P")</f>
        <v>AERIAL_P</v>
      </c>
      <c r="C7" t="s">
        <v>20</v>
      </c>
      <c r="D7" t="s">
        <v>20</v>
      </c>
      <c r="E7" t="s">
        <v>20</v>
      </c>
      <c r="F7" t="s">
        <v>20</v>
      </c>
      <c r="G7" t="s">
        <v>20</v>
      </c>
      <c r="H7">
        <v>100201</v>
      </c>
      <c r="I7" t="s">
        <v>25</v>
      </c>
    </row>
    <row r="8" spans="1:11" x14ac:dyDescent="0.2">
      <c r="A8" t="s">
        <v>26</v>
      </c>
      <c r="B8" s="6" t="str">
        <f>HYPERLINK("[#]Feature_Schema_1!A559:F559","AERO_RADIO_NAV_INSTALLATION_P")</f>
        <v>AERO_RADIO_NAV_INSTALLATION_P</v>
      </c>
      <c r="E8" t="s">
        <v>27</v>
      </c>
      <c r="F8" t="s">
        <v>27</v>
      </c>
      <c r="G8" t="s">
        <v>27</v>
      </c>
      <c r="H8">
        <v>171313</v>
      </c>
      <c r="I8" t="s">
        <v>28</v>
      </c>
    </row>
    <row r="9" spans="1:11" x14ac:dyDescent="0.2">
      <c r="A9" t="s">
        <v>29</v>
      </c>
      <c r="B9" s="6" t="str">
        <f>HYPERLINK("[#]Feature_Schema_1!A705:F705","AERODROME_BEACON_P")</f>
        <v>AERODROME_BEACON_P</v>
      </c>
      <c r="E9" t="s">
        <v>27</v>
      </c>
      <c r="F9" t="s">
        <v>27</v>
      </c>
      <c r="G9" t="s">
        <v>27</v>
      </c>
      <c r="H9">
        <v>133409</v>
      </c>
      <c r="I9" t="s">
        <v>30</v>
      </c>
    </row>
    <row r="10" spans="1:11" x14ac:dyDescent="0.2">
      <c r="A10" t="s">
        <v>31</v>
      </c>
      <c r="B10" s="6" t="str">
        <f>HYPERLINK("[#]Feature_Schema_1!A838:F838","AIRCRAFT_HANGAR_P")</f>
        <v>AIRCRAFT_HANGAR_P</v>
      </c>
      <c r="C10" t="s">
        <v>32</v>
      </c>
      <c r="D10" t="s">
        <v>32</v>
      </c>
      <c r="E10" t="s">
        <v>32</v>
      </c>
      <c r="F10" t="s">
        <v>32</v>
      </c>
      <c r="G10" t="s">
        <v>32</v>
      </c>
      <c r="H10">
        <v>100456</v>
      </c>
      <c r="I10" t="s">
        <v>33</v>
      </c>
    </row>
    <row r="11" spans="1:11" x14ac:dyDescent="0.2">
      <c r="A11" t="s">
        <v>31</v>
      </c>
      <c r="B11" s="6" t="str">
        <f>HYPERLINK("[#]Feature_Schema_1!A1025:F1025","AIRCRAFT_HANGAR_S")</f>
        <v>AIRCRAFT_HANGAR_S</v>
      </c>
      <c r="C11" t="s">
        <v>34</v>
      </c>
      <c r="D11" t="s">
        <v>34</v>
      </c>
      <c r="E11" t="s">
        <v>34</v>
      </c>
      <c r="F11" t="s">
        <v>34</v>
      </c>
      <c r="G11" t="s">
        <v>34</v>
      </c>
      <c r="H11">
        <v>100456</v>
      </c>
      <c r="I11" t="s">
        <v>35</v>
      </c>
    </row>
    <row r="12" spans="1:11" x14ac:dyDescent="0.2">
      <c r="A12" t="s">
        <v>36</v>
      </c>
      <c r="B12" s="6" t="str">
        <f>HYPERLINK("[#]Feature_Schema_1!A1212:F1212","AMPHITHEATRE_P")</f>
        <v>AMPHITHEATRE_P</v>
      </c>
      <c r="C12" t="s">
        <v>37</v>
      </c>
      <c r="D12" t="s">
        <v>37</v>
      </c>
      <c r="E12" t="s">
        <v>37</v>
      </c>
      <c r="F12" t="s">
        <v>37</v>
      </c>
      <c r="G12" t="s">
        <v>37</v>
      </c>
      <c r="H12">
        <v>100074</v>
      </c>
      <c r="I12" t="s">
        <v>38</v>
      </c>
    </row>
    <row r="13" spans="1:11" x14ac:dyDescent="0.2">
      <c r="A13" t="s">
        <v>36</v>
      </c>
      <c r="B13" s="6" t="str">
        <f>HYPERLINK("[#]Feature_Schema_1!A1271:F1271","AMPHITHEATRE_S")</f>
        <v>AMPHITHEATRE_S</v>
      </c>
      <c r="E13" t="s">
        <v>39</v>
      </c>
      <c r="F13" t="s">
        <v>39</v>
      </c>
      <c r="G13" t="s">
        <v>39</v>
      </c>
      <c r="H13">
        <v>100074</v>
      </c>
      <c r="I13" t="s">
        <v>40</v>
      </c>
    </row>
    <row r="14" spans="1:11" x14ac:dyDescent="0.2">
      <c r="A14" t="s">
        <v>41</v>
      </c>
      <c r="B14" s="6" t="str">
        <f>HYPERLINK("[#]Feature_Schema_1!A1330:F1330","AMUSEMENT_PARK_ATTRACTION_C")</f>
        <v>AMUSEMENT_PARK_ATTRACTION_C</v>
      </c>
      <c r="F14" t="s">
        <v>42</v>
      </c>
      <c r="G14" t="s">
        <v>42</v>
      </c>
      <c r="H14">
        <v>100053</v>
      </c>
      <c r="I14" t="s">
        <v>43</v>
      </c>
    </row>
    <row r="15" spans="1:11" x14ac:dyDescent="0.2">
      <c r="A15" t="s">
        <v>41</v>
      </c>
      <c r="B15" s="6" t="str">
        <f>HYPERLINK("[#]Feature_Schema_1!A1408:F1408","AMUSEMENT_PARK_ATTRACTION_P")</f>
        <v>AMUSEMENT_PARK_ATTRACTION_P</v>
      </c>
      <c r="C15" t="s">
        <v>37</v>
      </c>
      <c r="D15" t="s">
        <v>37</v>
      </c>
      <c r="E15" t="s">
        <v>37</v>
      </c>
      <c r="F15" t="s">
        <v>37</v>
      </c>
      <c r="G15" t="s">
        <v>37</v>
      </c>
      <c r="H15">
        <v>100053</v>
      </c>
      <c r="I15" t="s">
        <v>44</v>
      </c>
    </row>
    <row r="16" spans="1:11" x14ac:dyDescent="0.2">
      <c r="A16" t="s">
        <v>41</v>
      </c>
      <c r="B16" s="6" t="str">
        <f>HYPERLINK("[#]Feature_Schema_1!A1486:F1486","AMUSEMENT_PARK_ATTRACTION_S")</f>
        <v>AMUSEMENT_PARK_ATTRACTION_S</v>
      </c>
      <c r="F16" t="s">
        <v>39</v>
      </c>
      <c r="G16" t="s">
        <v>39</v>
      </c>
      <c r="H16">
        <v>100053</v>
      </c>
      <c r="I16" t="s">
        <v>45</v>
      </c>
    </row>
    <row r="17" spans="1:9" x14ac:dyDescent="0.2">
      <c r="A17" t="s">
        <v>46</v>
      </c>
      <c r="B17" s="6" t="str">
        <f>HYPERLINK("[#]Feature_Schema_1!A1564:F1564","AMUSEMENT_PARK_P")</f>
        <v>AMUSEMENT_PARK_P</v>
      </c>
      <c r="C17" t="s">
        <v>37</v>
      </c>
      <c r="D17" t="s">
        <v>37</v>
      </c>
      <c r="G17" t="s">
        <v>37</v>
      </c>
      <c r="H17">
        <v>100054</v>
      </c>
      <c r="I17" t="s">
        <v>47</v>
      </c>
    </row>
    <row r="18" spans="1:9" x14ac:dyDescent="0.2">
      <c r="A18" t="s">
        <v>46</v>
      </c>
      <c r="B18" s="6" t="str">
        <f>HYPERLINK("[#]Feature_Schema_1!A1736:F1736","AMUSEMENT_PARK_S")</f>
        <v>AMUSEMENT_PARK_S</v>
      </c>
      <c r="C18" t="s">
        <v>39</v>
      </c>
      <c r="D18" t="s">
        <v>39</v>
      </c>
      <c r="E18" t="s">
        <v>39</v>
      </c>
      <c r="F18" t="s">
        <v>39</v>
      </c>
      <c r="G18" t="s">
        <v>39</v>
      </c>
      <c r="H18">
        <v>100054</v>
      </c>
      <c r="I18" t="s">
        <v>48</v>
      </c>
    </row>
    <row r="19" spans="1:9" x14ac:dyDescent="0.2">
      <c r="A19" t="s">
        <v>49</v>
      </c>
      <c r="B19" s="6" t="str">
        <f>HYPERLINK("[#]Feature_Schema_1!A1908:F1908","ANCHOR_P")</f>
        <v>ANCHOR_P</v>
      </c>
      <c r="C19" t="s">
        <v>50</v>
      </c>
      <c r="D19" t="s">
        <v>50</v>
      </c>
      <c r="E19" t="s">
        <v>50</v>
      </c>
      <c r="F19" t="s">
        <v>50</v>
      </c>
      <c r="G19" t="s">
        <v>50</v>
      </c>
      <c r="H19">
        <v>100226</v>
      </c>
      <c r="I19" t="s">
        <v>51</v>
      </c>
    </row>
    <row r="20" spans="1:9" x14ac:dyDescent="0.2">
      <c r="A20" t="s">
        <v>52</v>
      </c>
      <c r="B20" s="6" t="str">
        <f>HYPERLINK("[#]Feature_Schema_1!A1958:F1958","ANCHORAGE_P")</f>
        <v>ANCHORAGE_P</v>
      </c>
      <c r="C20" t="s">
        <v>50</v>
      </c>
      <c r="D20" t="s">
        <v>50</v>
      </c>
      <c r="E20" t="s">
        <v>50</v>
      </c>
      <c r="F20" t="s">
        <v>50</v>
      </c>
      <c r="G20" t="s">
        <v>50</v>
      </c>
      <c r="H20">
        <v>100224</v>
      </c>
      <c r="I20" t="s">
        <v>53</v>
      </c>
    </row>
    <row r="21" spans="1:9" x14ac:dyDescent="0.2">
      <c r="A21" t="s">
        <v>52</v>
      </c>
      <c r="B21" s="6" t="str">
        <f>HYPERLINK("[#]Feature_Schema_1!A2028:F2028","ANCHORAGE_S")</f>
        <v>ANCHORAGE_S</v>
      </c>
      <c r="E21" t="s">
        <v>54</v>
      </c>
      <c r="G21" t="s">
        <v>54</v>
      </c>
      <c r="H21">
        <v>100224</v>
      </c>
      <c r="I21" t="s">
        <v>55</v>
      </c>
    </row>
    <row r="22" spans="1:9" x14ac:dyDescent="0.2">
      <c r="A22" t="s">
        <v>56</v>
      </c>
      <c r="B22" s="6" t="str">
        <f>HYPERLINK("[#]Feature_Schema_1!A2098:F2098","ANNOTATED_LOCATION_C")</f>
        <v>ANNOTATED_LOCATION_C</v>
      </c>
      <c r="C22" t="s">
        <v>57</v>
      </c>
      <c r="D22" t="s">
        <v>57</v>
      </c>
      <c r="E22" t="s">
        <v>57</v>
      </c>
      <c r="F22" t="s">
        <v>57</v>
      </c>
      <c r="G22" t="s">
        <v>57</v>
      </c>
      <c r="H22">
        <v>100476</v>
      </c>
      <c r="I22" t="s">
        <v>58</v>
      </c>
    </row>
    <row r="23" spans="1:9" x14ac:dyDescent="0.2">
      <c r="A23" t="s">
        <v>56</v>
      </c>
      <c r="B23" s="6" t="str">
        <f>HYPERLINK("[#]Feature_Schema_1!A2147:F2147","ANNOTATED_LOCATION_P")</f>
        <v>ANNOTATED_LOCATION_P</v>
      </c>
      <c r="C23" t="s">
        <v>59</v>
      </c>
      <c r="D23" t="s">
        <v>59</v>
      </c>
      <c r="E23" t="s">
        <v>59</v>
      </c>
      <c r="F23" t="s">
        <v>59</v>
      </c>
      <c r="G23" t="s">
        <v>59</v>
      </c>
      <c r="H23">
        <v>100476</v>
      </c>
      <c r="I23" t="s">
        <v>60</v>
      </c>
    </row>
    <row r="24" spans="1:9" x14ac:dyDescent="0.2">
      <c r="A24" t="s">
        <v>56</v>
      </c>
      <c r="B24" s="6" t="str">
        <f>HYPERLINK("[#]Feature_Schema_1!A2196:F2196","ANNOTATED_LOCATION_S")</f>
        <v>ANNOTATED_LOCATION_S</v>
      </c>
      <c r="C24" t="s">
        <v>61</v>
      </c>
      <c r="D24" t="s">
        <v>61</v>
      </c>
      <c r="E24" t="s">
        <v>61</v>
      </c>
      <c r="F24" t="s">
        <v>61</v>
      </c>
      <c r="G24" t="s">
        <v>61</v>
      </c>
      <c r="H24">
        <v>100476</v>
      </c>
      <c r="I24" t="s">
        <v>62</v>
      </c>
    </row>
    <row r="25" spans="1:9" x14ac:dyDescent="0.2">
      <c r="A25" t="s">
        <v>63</v>
      </c>
      <c r="B25" s="6" t="str">
        <f>HYPERLINK("[#]Feature_Schema_1!A2245:F2245","ANTI_AIRCRAFT_ARTILLERY_SITE_P")</f>
        <v>ANTI_AIRCRAFT_ARTILLERY_SITE_P</v>
      </c>
      <c r="D25" t="s">
        <v>64</v>
      </c>
      <c r="E25" t="s">
        <v>64</v>
      </c>
      <c r="F25" t="s">
        <v>64</v>
      </c>
      <c r="G25" t="s">
        <v>64</v>
      </c>
      <c r="H25">
        <v>100107</v>
      </c>
      <c r="I25" t="s">
        <v>65</v>
      </c>
    </row>
    <row r="26" spans="1:9" x14ac:dyDescent="0.2">
      <c r="A26" t="s">
        <v>63</v>
      </c>
      <c r="B26" s="6" t="str">
        <f>HYPERLINK("[#]Feature_Schema_1!A2357:F2357","ANTI_AIRCRAFT_ARTILLERY_SITE_S")</f>
        <v>ANTI_AIRCRAFT_ARTILLERY_SITE_S</v>
      </c>
      <c r="D26" t="s">
        <v>66</v>
      </c>
      <c r="E26" t="s">
        <v>66</v>
      </c>
      <c r="F26" t="s">
        <v>66</v>
      </c>
      <c r="G26" t="s">
        <v>66</v>
      </c>
      <c r="H26">
        <v>100107</v>
      </c>
      <c r="I26" t="s">
        <v>67</v>
      </c>
    </row>
    <row r="27" spans="1:9" x14ac:dyDescent="0.2">
      <c r="A27" t="s">
        <v>68</v>
      </c>
      <c r="B27" s="6" t="str">
        <f>HYPERLINK("[#]Feature_Schema_1!A2469:F2469","APRON_S")</f>
        <v>APRON_S</v>
      </c>
      <c r="E27" t="s">
        <v>34</v>
      </c>
      <c r="F27" t="s">
        <v>34</v>
      </c>
      <c r="G27" t="s">
        <v>34</v>
      </c>
      <c r="H27">
        <v>100438</v>
      </c>
      <c r="I27" t="s">
        <v>69</v>
      </c>
    </row>
    <row r="28" spans="1:9" x14ac:dyDescent="0.2">
      <c r="A28" t="s">
        <v>70</v>
      </c>
      <c r="B28" s="6" t="str">
        <f>HYPERLINK("[#]Feature_Schema_1!A2712:F2712","AQUATIC_VEGETATION_P")</f>
        <v>AQUATIC_VEGETATION_P</v>
      </c>
      <c r="E28" t="s">
        <v>71</v>
      </c>
      <c r="F28" t="s">
        <v>71</v>
      </c>
      <c r="G28" t="s">
        <v>71</v>
      </c>
      <c r="H28">
        <v>100692</v>
      </c>
      <c r="I28" t="s">
        <v>72</v>
      </c>
    </row>
    <row r="29" spans="1:9" x14ac:dyDescent="0.2">
      <c r="A29" t="s">
        <v>70</v>
      </c>
      <c r="B29" s="6" t="str">
        <f>HYPERLINK("[#]Feature_Schema_1!A2789:F2789","AQUATIC_VEGETATION_S")</f>
        <v>AQUATIC_VEGETATION_S</v>
      </c>
      <c r="E29" t="s">
        <v>73</v>
      </c>
      <c r="F29" t="s">
        <v>73</v>
      </c>
      <c r="G29" t="s">
        <v>73</v>
      </c>
      <c r="H29">
        <v>100692</v>
      </c>
      <c r="I29" t="s">
        <v>74</v>
      </c>
    </row>
    <row r="30" spans="1:9" x14ac:dyDescent="0.2">
      <c r="A30" t="s">
        <v>75</v>
      </c>
      <c r="B30" s="6" t="str">
        <f>HYPERLINK("[#]Feature_Schema_1!A2866:F2866","AQUEDUCT_AON_S")</f>
        <v>AQUEDUCT_AON_S</v>
      </c>
      <c r="E30" t="s">
        <v>76</v>
      </c>
      <c r="G30" t="s">
        <v>76</v>
      </c>
      <c r="H30">
        <v>200</v>
      </c>
      <c r="I30" t="s">
        <v>77</v>
      </c>
    </row>
    <row r="31" spans="1:9" x14ac:dyDescent="0.2">
      <c r="A31" t="s">
        <v>78</v>
      </c>
      <c r="B31" s="6" t="str">
        <f>HYPERLINK("[#]Feature_Schema_1!A3076:F3076","AQUEDUCT_C")</f>
        <v>AQUEDUCT_C</v>
      </c>
      <c r="C31" t="s">
        <v>79</v>
      </c>
      <c r="D31" t="s">
        <v>79</v>
      </c>
      <c r="E31" t="s">
        <v>79</v>
      </c>
      <c r="F31" t="s">
        <v>79</v>
      </c>
      <c r="G31" t="s">
        <v>79</v>
      </c>
      <c r="H31">
        <v>100295</v>
      </c>
      <c r="I31" t="s">
        <v>80</v>
      </c>
    </row>
    <row r="32" spans="1:9" x14ac:dyDescent="0.2">
      <c r="A32" t="s">
        <v>78</v>
      </c>
      <c r="B32" s="6" t="str">
        <f>HYPERLINK("[#]Feature_Schema_1!A3366:F3366","AQUEDUCT_S")</f>
        <v>AQUEDUCT_S</v>
      </c>
      <c r="D32" t="s">
        <v>81</v>
      </c>
      <c r="E32" t="s">
        <v>81</v>
      </c>
      <c r="F32" t="s">
        <v>81</v>
      </c>
      <c r="G32" t="s">
        <v>81</v>
      </c>
      <c r="H32">
        <v>100295</v>
      </c>
      <c r="I32" t="s">
        <v>82</v>
      </c>
    </row>
    <row r="33" spans="1:11" x14ac:dyDescent="0.2">
      <c r="A33" t="s">
        <v>83</v>
      </c>
      <c r="B33" s="6" t="str">
        <f>HYPERLINK("[#]Feature_Schema_1!A3656:F3656","AQUIFER_S")</f>
        <v>AQUIFER_S</v>
      </c>
      <c r="C33" t="s">
        <v>84</v>
      </c>
      <c r="D33" t="s">
        <v>84</v>
      </c>
      <c r="E33" t="s">
        <v>84</v>
      </c>
      <c r="F33" t="s">
        <v>84</v>
      </c>
      <c r="G33" t="s">
        <v>84</v>
      </c>
      <c r="H33">
        <v>154640</v>
      </c>
      <c r="I33" t="s">
        <v>85</v>
      </c>
    </row>
    <row r="34" spans="1:11" x14ac:dyDescent="0.2">
      <c r="A34" t="s">
        <v>86</v>
      </c>
      <c r="B34" s="6" t="str">
        <f>HYPERLINK("[#]Feature_Schema_1!A3967:F3967","ARCADE_C")</f>
        <v>ARCADE_C</v>
      </c>
      <c r="F34" t="s">
        <v>87</v>
      </c>
      <c r="G34" t="s">
        <v>87</v>
      </c>
      <c r="H34">
        <v>100192</v>
      </c>
      <c r="I34" t="s">
        <v>88</v>
      </c>
    </row>
    <row r="35" spans="1:11" x14ac:dyDescent="0.2">
      <c r="A35" t="s">
        <v>86</v>
      </c>
      <c r="B35" s="6" t="str">
        <f>HYPERLINK("[#]Feature_Schema_1!A4033:F4033","ARCADE_S")</f>
        <v>ARCADE_S</v>
      </c>
      <c r="F35" t="s">
        <v>89</v>
      </c>
      <c r="G35" t="s">
        <v>89</v>
      </c>
      <c r="H35">
        <v>100192</v>
      </c>
      <c r="I35" t="s">
        <v>90</v>
      </c>
    </row>
    <row r="36" spans="1:11" x14ac:dyDescent="0.2">
      <c r="A36" t="s">
        <v>91</v>
      </c>
      <c r="B36" s="7" t="str">
        <f>HYPERLINK("[#]Feature_Schema_1!A4099:F4099","ARCHAEOLOGICAL_SITE_P")</f>
        <v>ARCHAEOLOGICAL_SITE_P</v>
      </c>
      <c r="C36" t="s">
        <v>92</v>
      </c>
      <c r="D36" t="s">
        <v>92</v>
      </c>
      <c r="E36" t="s">
        <v>92</v>
      </c>
      <c r="F36" t="s">
        <v>92</v>
      </c>
      <c r="G36" t="s">
        <v>92</v>
      </c>
      <c r="H36">
        <v>100082</v>
      </c>
      <c r="I36" t="s">
        <v>93</v>
      </c>
      <c r="K36" t="s">
        <v>1139</v>
      </c>
    </row>
    <row r="37" spans="1:11" x14ac:dyDescent="0.2">
      <c r="A37" t="s">
        <v>91</v>
      </c>
      <c r="B37" s="7" t="str">
        <f>HYPERLINK("[#]Feature_Schema_1!A4152:F4152","ARCHAEOLOGICAL_SITE_S")</f>
        <v>ARCHAEOLOGICAL_SITE_S</v>
      </c>
      <c r="C37" t="s">
        <v>94</v>
      </c>
      <c r="D37" t="s">
        <v>94</v>
      </c>
      <c r="E37" t="s">
        <v>94</v>
      </c>
      <c r="F37" t="s">
        <v>94</v>
      </c>
      <c r="G37" t="s">
        <v>94</v>
      </c>
      <c r="H37">
        <v>100082</v>
      </c>
      <c r="I37" t="s">
        <v>95</v>
      </c>
      <c r="K37" t="s">
        <v>1140</v>
      </c>
    </row>
    <row r="38" spans="1:11" x14ac:dyDescent="0.2">
      <c r="A38" t="s">
        <v>96</v>
      </c>
      <c r="B38" s="6" t="str">
        <f>HYPERLINK("[#]Feature_Schema_1!A4205:F4205","ASPHALT_LAKE_S")</f>
        <v>ASPHALT_LAKE_S</v>
      </c>
      <c r="E38" t="s">
        <v>97</v>
      </c>
      <c r="F38" t="s">
        <v>97</v>
      </c>
      <c r="G38" t="s">
        <v>97</v>
      </c>
      <c r="H38">
        <v>100356</v>
      </c>
      <c r="I38" t="s">
        <v>98</v>
      </c>
    </row>
    <row r="39" spans="1:11" x14ac:dyDescent="0.2">
      <c r="A39" t="s">
        <v>99</v>
      </c>
      <c r="B39" s="6" t="str">
        <f>HYPERLINK("[#]Feature_Schema_1!A4244:F4244","ASTRONOMICAL_OBSERVATORY_P")</f>
        <v>ASTRONOMICAL_OBSERVATORY_P</v>
      </c>
      <c r="C39" t="s">
        <v>100</v>
      </c>
      <c r="D39" t="s">
        <v>100</v>
      </c>
      <c r="E39" t="s">
        <v>100</v>
      </c>
      <c r="F39" t="s">
        <v>100</v>
      </c>
      <c r="G39" t="s">
        <v>100</v>
      </c>
      <c r="H39">
        <v>100111</v>
      </c>
      <c r="I39" t="s">
        <v>101</v>
      </c>
    </row>
    <row r="40" spans="1:11" x14ac:dyDescent="0.2">
      <c r="A40" t="s">
        <v>99</v>
      </c>
      <c r="B40" s="6" t="str">
        <f>HYPERLINK("[#]Feature_Schema_1!A4380:F4380","ASTRONOMICAL_OBSERVATORY_S")</f>
        <v>ASTRONOMICAL_OBSERVATORY_S</v>
      </c>
      <c r="C40" t="s">
        <v>102</v>
      </c>
      <c r="D40" t="s">
        <v>102</v>
      </c>
      <c r="E40" t="s">
        <v>102</v>
      </c>
      <c r="F40" t="s">
        <v>102</v>
      </c>
      <c r="G40" t="s">
        <v>102</v>
      </c>
      <c r="H40">
        <v>100111</v>
      </c>
      <c r="I40" t="s">
        <v>103</v>
      </c>
    </row>
    <row r="41" spans="1:11" x14ac:dyDescent="0.2">
      <c r="A41" t="s">
        <v>104</v>
      </c>
      <c r="B41" s="6" t="str">
        <f>HYPERLINK("[#]Feature_Schema_1!A4516:F4516","BARN_P")</f>
        <v>BARN_P</v>
      </c>
      <c r="C41" t="s">
        <v>105</v>
      </c>
      <c r="D41" t="s">
        <v>105</v>
      </c>
      <c r="E41" t="s">
        <v>105</v>
      </c>
      <c r="F41" t="s">
        <v>105</v>
      </c>
      <c r="G41" t="s">
        <v>105</v>
      </c>
      <c r="H41">
        <v>100691</v>
      </c>
      <c r="I41" t="s">
        <v>106</v>
      </c>
    </row>
    <row r="42" spans="1:11" x14ac:dyDescent="0.2">
      <c r="A42" t="s">
        <v>104</v>
      </c>
      <c r="B42" s="6" t="str">
        <f>HYPERLINK("[#]Feature_Schema_1!A4698:F4698","BARN_S")</f>
        <v>BARN_S</v>
      </c>
      <c r="D42" t="s">
        <v>107</v>
      </c>
      <c r="E42" t="s">
        <v>107</v>
      </c>
      <c r="F42" t="s">
        <v>107</v>
      </c>
      <c r="G42" t="s">
        <v>107</v>
      </c>
      <c r="H42">
        <v>100691</v>
      </c>
      <c r="I42" t="s">
        <v>108</v>
      </c>
    </row>
    <row r="43" spans="1:11" x14ac:dyDescent="0.2">
      <c r="A43" t="s">
        <v>109</v>
      </c>
      <c r="B43" s="6" t="str">
        <f>HYPERLINK("[#]Feature_Schema_1!A4880:F4880","BASIN_GATE_C")</f>
        <v>BASIN_GATE_C</v>
      </c>
      <c r="E43" t="s">
        <v>110</v>
      </c>
      <c r="F43" t="s">
        <v>110</v>
      </c>
      <c r="G43" t="s">
        <v>110</v>
      </c>
      <c r="H43">
        <v>131206</v>
      </c>
      <c r="I43" t="s">
        <v>111</v>
      </c>
    </row>
    <row r="44" spans="1:11" x14ac:dyDescent="0.2">
      <c r="A44" t="s">
        <v>109</v>
      </c>
      <c r="B44" s="6" t="str">
        <f>HYPERLINK("[#]Feature_Schema_1!A4974:F4974","BASIN_GATE_P")</f>
        <v>BASIN_GATE_P</v>
      </c>
      <c r="E44" t="s">
        <v>112</v>
      </c>
      <c r="F44" t="s">
        <v>112</v>
      </c>
      <c r="G44" t="s">
        <v>112</v>
      </c>
      <c r="H44">
        <v>131206</v>
      </c>
      <c r="I44" t="s">
        <v>113</v>
      </c>
    </row>
    <row r="45" spans="1:11" x14ac:dyDescent="0.2">
      <c r="A45" t="s">
        <v>114</v>
      </c>
      <c r="B45" s="6" t="str">
        <f>HYPERLINK("[#]Feature_Schema_1!A5068:F5068","BEACH_LANDING_SITE_P")</f>
        <v>BEACH_LANDING_SITE_P</v>
      </c>
      <c r="D45" t="s">
        <v>64</v>
      </c>
      <c r="E45" t="s">
        <v>64</v>
      </c>
      <c r="F45" t="s">
        <v>64</v>
      </c>
      <c r="G45" t="s">
        <v>64</v>
      </c>
      <c r="H45">
        <v>100239</v>
      </c>
      <c r="I45" t="s">
        <v>115</v>
      </c>
    </row>
    <row r="46" spans="1:11" x14ac:dyDescent="0.2">
      <c r="A46" t="s">
        <v>114</v>
      </c>
      <c r="B46" s="6" t="str">
        <f>HYPERLINK("[#]Feature_Schema_1!A5116:F5116","BEACH_LANDING_SITE_S")</f>
        <v>BEACH_LANDING_SITE_S</v>
      </c>
      <c r="E46" t="s">
        <v>66</v>
      </c>
      <c r="F46" t="s">
        <v>66</v>
      </c>
      <c r="G46" t="s">
        <v>66</v>
      </c>
      <c r="H46">
        <v>100239</v>
      </c>
      <c r="I46" t="s">
        <v>116</v>
      </c>
    </row>
    <row r="47" spans="1:11" x14ac:dyDescent="0.2">
      <c r="A47" t="s">
        <v>117</v>
      </c>
      <c r="B47" s="6" t="str">
        <f>HYPERLINK("[#]Feature_Schema_1!A5164:F5164","BEACH_PROFILE_C")</f>
        <v>BEACH_PROFILE_C</v>
      </c>
      <c r="E47" t="s">
        <v>118</v>
      </c>
      <c r="F47" t="s">
        <v>118</v>
      </c>
      <c r="G47" t="s">
        <v>118</v>
      </c>
      <c r="H47">
        <v>100287</v>
      </c>
      <c r="I47" t="s">
        <v>119</v>
      </c>
    </row>
    <row r="48" spans="1:11" x14ac:dyDescent="0.2">
      <c r="A48" t="s">
        <v>120</v>
      </c>
      <c r="B48" s="6" t="str">
        <f>HYPERLINK("[#]Feature_Schema_1!A5194:F5194","BEACH_S")</f>
        <v>BEACH_S</v>
      </c>
      <c r="E48" t="s">
        <v>121</v>
      </c>
      <c r="F48" t="s">
        <v>121</v>
      </c>
      <c r="G48" t="s">
        <v>121</v>
      </c>
      <c r="H48">
        <v>100219</v>
      </c>
      <c r="I48" t="s">
        <v>122</v>
      </c>
    </row>
    <row r="49" spans="1:9" x14ac:dyDescent="0.2">
      <c r="A49" t="s">
        <v>123</v>
      </c>
      <c r="B49" s="6" t="str">
        <f>HYPERLINK("[#]Feature_Schema_1!A5517:F5517","BENCHMARK_P")</f>
        <v>BENCHMARK_P</v>
      </c>
      <c r="E49" t="s">
        <v>124</v>
      </c>
      <c r="F49" t="s">
        <v>124</v>
      </c>
      <c r="G49" t="s">
        <v>124</v>
      </c>
      <c r="H49">
        <v>100464</v>
      </c>
      <c r="I49" t="s">
        <v>125</v>
      </c>
    </row>
    <row r="50" spans="1:9" x14ac:dyDescent="0.2">
      <c r="A50" t="s">
        <v>126</v>
      </c>
      <c r="B50" s="6" t="str">
        <f>HYPERLINK("[#]Feature_Schema_1!A5566:F5566","BERTH_P")</f>
        <v>BERTH_P</v>
      </c>
      <c r="E50" t="s">
        <v>50</v>
      </c>
      <c r="F50" t="s">
        <v>50</v>
      </c>
      <c r="G50" t="s">
        <v>50</v>
      </c>
      <c r="H50">
        <v>100227</v>
      </c>
      <c r="I50" t="s">
        <v>127</v>
      </c>
    </row>
    <row r="51" spans="1:9" x14ac:dyDescent="0.2">
      <c r="A51" t="s">
        <v>128</v>
      </c>
      <c r="B51" s="6" t="str">
        <f>HYPERLINK("[#]Feature_Schema_1!A5614:F5614","BILLBOARD_P")</f>
        <v>BILLBOARD_P</v>
      </c>
      <c r="C51" t="s">
        <v>100</v>
      </c>
      <c r="D51" t="s">
        <v>100</v>
      </c>
      <c r="E51" t="s">
        <v>100</v>
      </c>
      <c r="F51" t="s">
        <v>100</v>
      </c>
      <c r="G51" t="s">
        <v>100</v>
      </c>
      <c r="H51">
        <v>121638</v>
      </c>
      <c r="I51" t="s">
        <v>129</v>
      </c>
    </row>
    <row r="52" spans="1:9" x14ac:dyDescent="0.2">
      <c r="A52" t="s">
        <v>130</v>
      </c>
      <c r="B52" s="6" t="str">
        <f>HYPERLINK("[#]Feature_Schema_1!A5761:F5761","BLAST_FURNACE_P")</f>
        <v>BLAST_FURNACE_P</v>
      </c>
      <c r="C52" t="s">
        <v>131</v>
      </c>
      <c r="D52" t="s">
        <v>131</v>
      </c>
      <c r="E52" t="s">
        <v>131</v>
      </c>
      <c r="F52" t="s">
        <v>131</v>
      </c>
      <c r="G52" t="s">
        <v>131</v>
      </c>
      <c r="H52">
        <v>100012</v>
      </c>
      <c r="I52" t="s">
        <v>132</v>
      </c>
    </row>
    <row r="53" spans="1:9" x14ac:dyDescent="0.2">
      <c r="A53" t="s">
        <v>130</v>
      </c>
      <c r="B53" s="6" t="str">
        <f>HYPERLINK("[#]Feature_Schema_1!A5830:F5830","BLAST_FURNACE_S")</f>
        <v>BLAST_FURNACE_S</v>
      </c>
      <c r="E53" t="s">
        <v>17</v>
      </c>
      <c r="F53" t="s">
        <v>17</v>
      </c>
      <c r="G53" t="s">
        <v>17</v>
      </c>
      <c r="H53">
        <v>100012</v>
      </c>
      <c r="I53" t="s">
        <v>133</v>
      </c>
    </row>
    <row r="54" spans="1:9" x14ac:dyDescent="0.2">
      <c r="A54" t="s">
        <v>134</v>
      </c>
      <c r="B54" s="6" t="str">
        <f>HYPERLINK("[#]Feature_Schema_1!A5899:F5899","BOG_S")</f>
        <v>BOG_S</v>
      </c>
      <c r="C54" t="s">
        <v>135</v>
      </c>
      <c r="D54" t="s">
        <v>135</v>
      </c>
      <c r="E54" t="s">
        <v>135</v>
      </c>
      <c r="F54" t="s">
        <v>135</v>
      </c>
      <c r="G54" t="s">
        <v>135</v>
      </c>
      <c r="H54">
        <v>100296</v>
      </c>
      <c r="I54" t="s">
        <v>136</v>
      </c>
    </row>
    <row r="55" spans="1:9" x14ac:dyDescent="0.2">
      <c r="A55" t="s">
        <v>137</v>
      </c>
      <c r="B55" s="6" t="str">
        <f>HYPERLINK("[#]Feature_Schema_1!A6054:F6054","BOREHOLE_P")</f>
        <v>BOREHOLE_P</v>
      </c>
      <c r="F55" t="s">
        <v>131</v>
      </c>
      <c r="G55" t="s">
        <v>131</v>
      </c>
      <c r="H55">
        <v>100696</v>
      </c>
      <c r="I55" t="s">
        <v>138</v>
      </c>
    </row>
    <row r="56" spans="1:9" x14ac:dyDescent="0.2">
      <c r="A56" t="s">
        <v>139</v>
      </c>
      <c r="B56" s="6" t="str">
        <f>HYPERLINK("[#]Feature_Schema_1!A6110:F6110","BOTANIC_GARDEN_S")</f>
        <v>BOTANIC_GARDEN_S</v>
      </c>
      <c r="F56" t="s">
        <v>94</v>
      </c>
      <c r="G56" t="s">
        <v>94</v>
      </c>
      <c r="H56">
        <v>100383</v>
      </c>
      <c r="I56" t="s">
        <v>140</v>
      </c>
    </row>
    <row r="57" spans="1:9" x14ac:dyDescent="0.2">
      <c r="A57" t="s">
        <v>141</v>
      </c>
      <c r="B57" s="6" t="str">
        <f>HYPERLINK("[#]Feature_Schema_1!A6157:F6157","BOTTOM_CHARACTER_REGION_P")</f>
        <v>BOTTOM_CHARACTER_REGION_P</v>
      </c>
      <c r="E57" t="s">
        <v>71</v>
      </c>
      <c r="F57" t="s">
        <v>71</v>
      </c>
      <c r="G57" t="s">
        <v>71</v>
      </c>
      <c r="H57">
        <v>100288</v>
      </c>
      <c r="I57" t="s">
        <v>142</v>
      </c>
    </row>
    <row r="58" spans="1:9" x14ac:dyDescent="0.2">
      <c r="A58" t="s">
        <v>141</v>
      </c>
      <c r="B58" s="6" t="str">
        <f>HYPERLINK("[#]Feature_Schema_1!A6461:F6461","BOTTOM_CHARACTER_REGION_S")</f>
        <v>BOTTOM_CHARACTER_REGION_S</v>
      </c>
      <c r="E58" t="s">
        <v>73</v>
      </c>
      <c r="F58" t="s">
        <v>73</v>
      </c>
      <c r="G58" t="s">
        <v>73</v>
      </c>
      <c r="H58">
        <v>100288</v>
      </c>
      <c r="I58" t="s">
        <v>143</v>
      </c>
    </row>
    <row r="59" spans="1:9" x14ac:dyDescent="0.2">
      <c r="A59" t="s">
        <v>144</v>
      </c>
      <c r="B59" s="6" t="str">
        <f>HYPERLINK("[#]Feature_Schema_1!A6765:F6765","BOUNDARY_MONUMENT_P")</f>
        <v>BOUNDARY_MONUMENT_P</v>
      </c>
      <c r="E59" t="s">
        <v>145</v>
      </c>
      <c r="F59" t="s">
        <v>145</v>
      </c>
      <c r="G59" t="s">
        <v>145</v>
      </c>
      <c r="H59">
        <v>100465</v>
      </c>
      <c r="I59" t="s">
        <v>146</v>
      </c>
    </row>
    <row r="60" spans="1:9" x14ac:dyDescent="0.2">
      <c r="A60" t="s">
        <v>147</v>
      </c>
      <c r="B60" s="6" t="str">
        <f>HYPERLINK("[#]Feature_Schema_1!A6845:F6845","BRIDGE_C")</f>
        <v>BRIDGE_C</v>
      </c>
      <c r="C60" t="s">
        <v>87</v>
      </c>
      <c r="D60" t="s">
        <v>87</v>
      </c>
      <c r="E60" t="s">
        <v>87</v>
      </c>
      <c r="F60" t="s">
        <v>87</v>
      </c>
      <c r="G60" t="s">
        <v>87</v>
      </c>
      <c r="H60">
        <v>100161</v>
      </c>
      <c r="I60" t="s">
        <v>148</v>
      </c>
    </row>
    <row r="61" spans="1:9" x14ac:dyDescent="0.2">
      <c r="A61" t="s">
        <v>147</v>
      </c>
      <c r="B61" s="6" t="str">
        <f>HYPERLINK("[#]Feature_Schema_1!A7093:F7093","BRIDGE_P")</f>
        <v>BRIDGE_P</v>
      </c>
      <c r="C61" t="s">
        <v>149</v>
      </c>
      <c r="D61" t="s">
        <v>149</v>
      </c>
      <c r="E61" t="s">
        <v>149</v>
      </c>
      <c r="F61" t="s">
        <v>149</v>
      </c>
      <c r="G61" t="s">
        <v>149</v>
      </c>
      <c r="H61">
        <v>100161</v>
      </c>
      <c r="I61" t="s">
        <v>150</v>
      </c>
    </row>
    <row r="62" spans="1:9" x14ac:dyDescent="0.2">
      <c r="A62" t="s">
        <v>151</v>
      </c>
      <c r="B62" s="6" t="str">
        <f>HYPERLINK("[#]Feature_Schema_1!A7341:F7341","BRIDGE_PIER_C")</f>
        <v>BRIDGE_PIER_C</v>
      </c>
      <c r="F62" t="s">
        <v>87</v>
      </c>
      <c r="G62" t="s">
        <v>87</v>
      </c>
      <c r="H62">
        <v>100165</v>
      </c>
      <c r="I62" t="s">
        <v>152</v>
      </c>
    </row>
    <row r="63" spans="1:9" x14ac:dyDescent="0.2">
      <c r="A63" t="s">
        <v>151</v>
      </c>
      <c r="B63" s="6" t="str">
        <f>HYPERLINK("[#]Feature_Schema_1!A7390:F7390","BRIDGE_PIER_P")</f>
        <v>BRIDGE_PIER_P</v>
      </c>
      <c r="E63" t="s">
        <v>149</v>
      </c>
      <c r="F63" t="s">
        <v>149</v>
      </c>
      <c r="G63" t="s">
        <v>149</v>
      </c>
      <c r="H63">
        <v>100165</v>
      </c>
      <c r="I63" t="s">
        <v>153</v>
      </c>
    </row>
    <row r="64" spans="1:9" x14ac:dyDescent="0.2">
      <c r="A64" t="s">
        <v>151</v>
      </c>
      <c r="B64" s="6" t="str">
        <f>HYPERLINK("[#]Feature_Schema_1!A7439:F7439","BRIDGE_PIER_S")</f>
        <v>BRIDGE_PIER_S</v>
      </c>
      <c r="F64" t="s">
        <v>89</v>
      </c>
      <c r="G64" t="s">
        <v>89</v>
      </c>
      <c r="H64">
        <v>100165</v>
      </c>
      <c r="I64" t="s">
        <v>154</v>
      </c>
    </row>
    <row r="65" spans="1:9" x14ac:dyDescent="0.2">
      <c r="A65" t="s">
        <v>147</v>
      </c>
      <c r="B65" s="6" t="str">
        <f>HYPERLINK("[#]Feature_Schema_1!A7488:F7488","BRIDGE_S")</f>
        <v>BRIDGE_S</v>
      </c>
      <c r="F65" t="s">
        <v>89</v>
      </c>
      <c r="G65" t="s">
        <v>89</v>
      </c>
      <c r="H65">
        <v>100161</v>
      </c>
      <c r="I65" t="s">
        <v>155</v>
      </c>
    </row>
    <row r="66" spans="1:9" x14ac:dyDescent="0.2">
      <c r="A66" t="s">
        <v>156</v>
      </c>
      <c r="B66" s="6" t="str">
        <f>HYPERLINK("[#]Feature_Schema_1!A7736:F7736","BRIDGE_SPAN_C")</f>
        <v>BRIDGE_SPAN_C</v>
      </c>
      <c r="E66" t="s">
        <v>87</v>
      </c>
      <c r="F66" t="s">
        <v>87</v>
      </c>
      <c r="G66" t="s">
        <v>87</v>
      </c>
      <c r="H66">
        <v>100162</v>
      </c>
      <c r="I66" t="s">
        <v>157</v>
      </c>
    </row>
    <row r="67" spans="1:9" x14ac:dyDescent="0.2">
      <c r="A67" t="s">
        <v>156</v>
      </c>
      <c r="B67" s="6" t="str">
        <f>HYPERLINK("[#]Feature_Schema_1!A7909:F7909","BRIDGE_SPAN_P")</f>
        <v>BRIDGE_SPAN_P</v>
      </c>
      <c r="E67" t="s">
        <v>149</v>
      </c>
      <c r="F67" t="s">
        <v>149</v>
      </c>
      <c r="G67" t="s">
        <v>149</v>
      </c>
      <c r="H67">
        <v>100162</v>
      </c>
      <c r="I67" t="s">
        <v>158</v>
      </c>
    </row>
    <row r="68" spans="1:9" x14ac:dyDescent="0.2">
      <c r="A68" t="s">
        <v>156</v>
      </c>
      <c r="B68" s="6" t="str">
        <f>HYPERLINK("[#]Feature_Schema_1!A8082:F8082","BRIDGE_SPAN_S")</f>
        <v>BRIDGE_SPAN_S</v>
      </c>
      <c r="F68" t="s">
        <v>89</v>
      </c>
      <c r="G68" t="s">
        <v>89</v>
      </c>
      <c r="H68">
        <v>100162</v>
      </c>
      <c r="I68" t="s">
        <v>159</v>
      </c>
    </row>
    <row r="69" spans="1:9" x14ac:dyDescent="0.2">
      <c r="A69" t="s">
        <v>160</v>
      </c>
      <c r="B69" s="6" t="str">
        <f>HYPERLINK("[#]Feature_Schema_1!A8255:F8255","BRIDGE_SUPERSTRUCTURE_C")</f>
        <v>BRIDGE_SUPERSTRUCTURE_C</v>
      </c>
      <c r="C69" t="s">
        <v>87</v>
      </c>
      <c r="D69" t="s">
        <v>87</v>
      </c>
      <c r="E69" t="s">
        <v>87</v>
      </c>
      <c r="F69" t="s">
        <v>87</v>
      </c>
      <c r="G69" t="s">
        <v>87</v>
      </c>
      <c r="H69">
        <v>100163</v>
      </c>
      <c r="I69" t="s">
        <v>161</v>
      </c>
    </row>
    <row r="70" spans="1:9" x14ac:dyDescent="0.2">
      <c r="A70" t="s">
        <v>160</v>
      </c>
      <c r="B70" s="6" t="str">
        <f>HYPERLINK("[#]Feature_Schema_1!A8327:F8327","BRIDGE_SUPERSTRUCTURE_S")</f>
        <v>BRIDGE_SUPERSTRUCTURE_S</v>
      </c>
      <c r="E70" t="s">
        <v>89</v>
      </c>
      <c r="F70" t="s">
        <v>89</v>
      </c>
      <c r="G70" t="s">
        <v>89</v>
      </c>
      <c r="H70">
        <v>100163</v>
      </c>
      <c r="I70" t="s">
        <v>162</v>
      </c>
    </row>
    <row r="71" spans="1:9" x14ac:dyDescent="0.2">
      <c r="A71" t="s">
        <v>163</v>
      </c>
      <c r="B71" s="6" t="str">
        <f>HYPERLINK("[#]Feature_Schema_1!A8399:F8399","BRIDGE_TOWER_P")</f>
        <v>BRIDGE_TOWER_P</v>
      </c>
      <c r="C71" t="s">
        <v>149</v>
      </c>
      <c r="D71" t="s">
        <v>149</v>
      </c>
      <c r="E71" t="s">
        <v>149</v>
      </c>
      <c r="F71" t="s">
        <v>149</v>
      </c>
      <c r="G71" t="s">
        <v>149</v>
      </c>
      <c r="H71">
        <v>100164</v>
      </c>
      <c r="I71" t="s">
        <v>164</v>
      </c>
    </row>
    <row r="72" spans="1:9" x14ac:dyDescent="0.2">
      <c r="A72" t="s">
        <v>165</v>
      </c>
      <c r="B72" s="6" t="str">
        <f>HYPERLINK("[#]Feature_Schema_1!A8459:F8459","BRUSH_S")</f>
        <v>BRUSH_S</v>
      </c>
      <c r="E72" t="s">
        <v>135</v>
      </c>
      <c r="F72" t="s">
        <v>135</v>
      </c>
      <c r="G72" t="s">
        <v>135</v>
      </c>
      <c r="H72">
        <v>100390</v>
      </c>
      <c r="I72" t="s">
        <v>166</v>
      </c>
    </row>
    <row r="73" spans="1:9" x14ac:dyDescent="0.2">
      <c r="A73" t="s">
        <v>167</v>
      </c>
      <c r="B73" s="6" t="str">
        <f>HYPERLINK("[#]Feature_Schema_1!A8504:F8504","BUILDING_P")</f>
        <v>BUILDING_P</v>
      </c>
      <c r="C73" t="s">
        <v>100</v>
      </c>
      <c r="D73" t="s">
        <v>100</v>
      </c>
      <c r="E73" t="s">
        <v>100</v>
      </c>
      <c r="F73" t="s">
        <v>100</v>
      </c>
      <c r="G73" t="s">
        <v>100</v>
      </c>
      <c r="H73">
        <v>100083</v>
      </c>
      <c r="I73" t="s">
        <v>168</v>
      </c>
    </row>
    <row r="74" spans="1:9" x14ac:dyDescent="0.2">
      <c r="A74" t="s">
        <v>167</v>
      </c>
      <c r="B74" s="6" t="str">
        <f>HYPERLINK("[#]Feature_Schema_1!A10248:F10248","BUILDING_S")</f>
        <v>BUILDING_S</v>
      </c>
      <c r="C74" t="s">
        <v>102</v>
      </c>
      <c r="D74" t="s">
        <v>102</v>
      </c>
      <c r="E74" t="s">
        <v>102</v>
      </c>
      <c r="F74" t="s">
        <v>102</v>
      </c>
      <c r="G74" t="s">
        <v>102</v>
      </c>
      <c r="H74">
        <v>100083</v>
      </c>
      <c r="I74" t="s">
        <v>169</v>
      </c>
    </row>
    <row r="75" spans="1:9" x14ac:dyDescent="0.2">
      <c r="A75" t="s">
        <v>170</v>
      </c>
      <c r="B75" s="6" t="str">
        <f>HYPERLINK("[#]Feature_Schema_1!A11992:F11992","BUILDING_SUPERSTRUCTURE_C")</f>
        <v>BUILDING_SUPERSTRUCTURE_C</v>
      </c>
      <c r="F75" t="s">
        <v>171</v>
      </c>
      <c r="G75" t="s">
        <v>171</v>
      </c>
      <c r="H75">
        <v>100087</v>
      </c>
      <c r="I75" t="s">
        <v>172</v>
      </c>
    </row>
    <row r="76" spans="1:9" x14ac:dyDescent="0.2">
      <c r="A76" t="s">
        <v>170</v>
      </c>
      <c r="B76" s="6" t="str">
        <f>HYPERLINK("[#]Feature_Schema_1!A12084:F12084","BUILDING_SUPERSTRUCTURE_P")</f>
        <v>BUILDING_SUPERSTRUCTURE_P</v>
      </c>
      <c r="C76" t="s">
        <v>100</v>
      </c>
      <c r="D76" t="s">
        <v>100</v>
      </c>
      <c r="E76" t="s">
        <v>100</v>
      </c>
      <c r="F76" t="s">
        <v>100</v>
      </c>
      <c r="G76" t="s">
        <v>100</v>
      </c>
      <c r="H76">
        <v>100087</v>
      </c>
      <c r="I76" t="s">
        <v>173</v>
      </c>
    </row>
    <row r="77" spans="1:9" x14ac:dyDescent="0.2">
      <c r="A77" t="s">
        <v>170</v>
      </c>
      <c r="B77" s="6" t="str">
        <f>HYPERLINK("[#]Feature_Schema_1!A12176:F12176","BUILDING_SUPERSTRUCTURE_S")</f>
        <v>BUILDING_SUPERSTRUCTURE_S</v>
      </c>
      <c r="E77" t="s">
        <v>102</v>
      </c>
      <c r="F77" t="s">
        <v>102</v>
      </c>
      <c r="G77" t="s">
        <v>102</v>
      </c>
      <c r="H77">
        <v>100087</v>
      </c>
      <c r="I77" t="s">
        <v>174</v>
      </c>
    </row>
    <row r="78" spans="1:9" x14ac:dyDescent="0.2">
      <c r="A78" t="s">
        <v>175</v>
      </c>
      <c r="B78" s="6" t="str">
        <f>HYPERLINK("[#]Feature_Schema_1!A12268:F12268","BUILT_UP_AREA_P")</f>
        <v>BUILT_UP_AREA_P</v>
      </c>
      <c r="C78" t="s">
        <v>176</v>
      </c>
      <c r="D78" t="s">
        <v>176</v>
      </c>
      <c r="E78" t="s">
        <v>176</v>
      </c>
      <c r="F78" t="s">
        <v>176</v>
      </c>
      <c r="G78" t="s">
        <v>176</v>
      </c>
      <c r="H78">
        <v>100089</v>
      </c>
      <c r="I78" t="s">
        <v>177</v>
      </c>
    </row>
    <row r="79" spans="1:9" x14ac:dyDescent="0.2">
      <c r="A79" t="s">
        <v>175</v>
      </c>
      <c r="B79" s="6" t="str">
        <f>HYPERLINK("[#]Feature_Schema_1!A12377:F12377","BUILT_UP_AREA_S")</f>
        <v>BUILT_UP_AREA_S</v>
      </c>
      <c r="C79" t="s">
        <v>178</v>
      </c>
      <c r="D79" t="s">
        <v>178</v>
      </c>
      <c r="E79" t="s">
        <v>178</v>
      </c>
      <c r="F79" t="s">
        <v>178</v>
      </c>
      <c r="G79" t="s">
        <v>178</v>
      </c>
      <c r="H79">
        <v>100089</v>
      </c>
      <c r="I79" t="s">
        <v>179</v>
      </c>
    </row>
    <row r="80" spans="1:9" x14ac:dyDescent="0.2">
      <c r="A80" t="s">
        <v>180</v>
      </c>
      <c r="B80" s="6" t="str">
        <f>HYPERLINK("[#]Feature_Schema_1!A12486:F12486","BUOY_P")</f>
        <v>BUOY_P</v>
      </c>
      <c r="E80" t="s">
        <v>181</v>
      </c>
      <c r="F80" t="s">
        <v>181</v>
      </c>
      <c r="G80" t="s">
        <v>181</v>
      </c>
      <c r="H80">
        <v>100248</v>
      </c>
      <c r="I80" t="s">
        <v>182</v>
      </c>
    </row>
    <row r="81" spans="1:9" x14ac:dyDescent="0.2">
      <c r="A81" t="s">
        <v>183</v>
      </c>
      <c r="B81" s="6" t="str">
        <f>HYPERLINK("[#]Feature_Schema_1!A12800:F12800","CABLE_C")</f>
        <v>CABLE_C</v>
      </c>
      <c r="C81" t="s">
        <v>184</v>
      </c>
      <c r="D81" t="s">
        <v>184</v>
      </c>
      <c r="E81" t="s">
        <v>184</v>
      </c>
      <c r="F81" t="s">
        <v>184</v>
      </c>
      <c r="G81" t="s">
        <v>184</v>
      </c>
      <c r="H81">
        <v>100199</v>
      </c>
      <c r="I81" t="s">
        <v>185</v>
      </c>
    </row>
    <row r="82" spans="1:9" x14ac:dyDescent="0.2">
      <c r="A82" t="s">
        <v>186</v>
      </c>
      <c r="B82" s="6" t="str">
        <f>HYPERLINK("[#]Feature_Schema_1!A12956:F12956","CABLEWAY_C")</f>
        <v>CABLEWAY_C</v>
      </c>
      <c r="C82" t="s">
        <v>87</v>
      </c>
      <c r="D82" t="s">
        <v>87</v>
      </c>
      <c r="E82" t="s">
        <v>87</v>
      </c>
      <c r="F82" t="s">
        <v>87</v>
      </c>
      <c r="G82" t="s">
        <v>87</v>
      </c>
      <c r="H82">
        <v>100206</v>
      </c>
      <c r="I82" t="s">
        <v>187</v>
      </c>
    </row>
    <row r="83" spans="1:9" x14ac:dyDescent="0.2">
      <c r="A83" t="s">
        <v>188</v>
      </c>
      <c r="B83" s="6" t="str">
        <f>HYPERLINK("[#]Feature_Schema_1!A13054:F13054","CAIRN_P")</f>
        <v>CAIRN_P</v>
      </c>
      <c r="C83" t="s">
        <v>92</v>
      </c>
      <c r="D83" t="s">
        <v>92</v>
      </c>
      <c r="E83" t="s">
        <v>92</v>
      </c>
      <c r="F83" t="s">
        <v>92</v>
      </c>
      <c r="G83" t="s">
        <v>92</v>
      </c>
      <c r="H83">
        <v>100091</v>
      </c>
      <c r="I83" t="s">
        <v>189</v>
      </c>
    </row>
    <row r="84" spans="1:9" x14ac:dyDescent="0.2">
      <c r="A84" t="s">
        <v>190</v>
      </c>
      <c r="B84" s="6" t="str">
        <f>HYPERLINK("[#]Feature_Schema_1!A13102:F13102","CALLING_IN_POINT_P")</f>
        <v>CALLING_IN_POINT_P</v>
      </c>
      <c r="E84" t="s">
        <v>50</v>
      </c>
      <c r="F84" t="s">
        <v>50</v>
      </c>
      <c r="G84" t="s">
        <v>50</v>
      </c>
      <c r="H84">
        <v>100229</v>
      </c>
      <c r="I84" t="s">
        <v>191</v>
      </c>
    </row>
    <row r="85" spans="1:9" x14ac:dyDescent="0.2">
      <c r="A85" t="s">
        <v>192</v>
      </c>
      <c r="B85" s="6" t="str">
        <f>HYPERLINK("[#]Feature_Schema_1!A13140:F13140","CAMP_P")</f>
        <v>CAMP_P</v>
      </c>
      <c r="E85" t="s">
        <v>176</v>
      </c>
      <c r="F85" t="s">
        <v>176</v>
      </c>
      <c r="G85" t="s">
        <v>176</v>
      </c>
      <c r="H85">
        <v>100041</v>
      </c>
      <c r="I85" t="s">
        <v>193</v>
      </c>
    </row>
    <row r="86" spans="1:9" x14ac:dyDescent="0.2">
      <c r="A86" t="s">
        <v>192</v>
      </c>
      <c r="B86" s="6" t="str">
        <f>HYPERLINK("[#]Feature_Schema_1!A13260:F13260","CAMP_S")</f>
        <v>CAMP_S</v>
      </c>
      <c r="E86" t="s">
        <v>178</v>
      </c>
      <c r="F86" t="s">
        <v>178</v>
      </c>
      <c r="G86" t="s">
        <v>178</v>
      </c>
      <c r="H86">
        <v>100041</v>
      </c>
      <c r="I86" t="s">
        <v>194</v>
      </c>
    </row>
    <row r="87" spans="1:9" x14ac:dyDescent="0.2">
      <c r="A87" t="s">
        <v>195</v>
      </c>
      <c r="B87" s="6" t="str">
        <f>HYPERLINK("[#]Feature_Schema_1!A13380:F13380","CAMP_SITE_P")</f>
        <v>CAMP_SITE_P</v>
      </c>
      <c r="C87" t="s">
        <v>37</v>
      </c>
      <c r="D87" t="s">
        <v>37</v>
      </c>
      <c r="G87" t="s">
        <v>37</v>
      </c>
      <c r="H87">
        <v>100057</v>
      </c>
      <c r="I87" t="s">
        <v>196</v>
      </c>
    </row>
    <row r="88" spans="1:9" x14ac:dyDescent="0.2">
      <c r="A88" t="s">
        <v>195</v>
      </c>
      <c r="B88" s="6" t="str">
        <f>HYPERLINK("[#]Feature_Schema_1!A13435:F13435","CAMP_SITE_S")</f>
        <v>CAMP_SITE_S</v>
      </c>
      <c r="E88" t="s">
        <v>39</v>
      </c>
      <c r="F88" t="s">
        <v>39</v>
      </c>
      <c r="G88" t="s">
        <v>39</v>
      </c>
      <c r="H88">
        <v>100057</v>
      </c>
      <c r="I88" t="s">
        <v>197</v>
      </c>
    </row>
    <row r="89" spans="1:9" x14ac:dyDescent="0.2">
      <c r="A89" t="s">
        <v>198</v>
      </c>
      <c r="B89" s="6" t="str">
        <f>HYPERLINK("[#]Feature_Schema_1!A13490:F13490","CANE_S")</f>
        <v>CANE_S</v>
      </c>
      <c r="C89" t="s">
        <v>107</v>
      </c>
      <c r="D89" t="s">
        <v>107</v>
      </c>
      <c r="E89" t="s">
        <v>107</v>
      </c>
      <c r="F89" t="s">
        <v>107</v>
      </c>
      <c r="G89" t="s">
        <v>107</v>
      </c>
      <c r="H89">
        <v>100393</v>
      </c>
      <c r="I89" t="s">
        <v>199</v>
      </c>
    </row>
    <row r="90" spans="1:9" x14ac:dyDescent="0.2">
      <c r="A90" t="s">
        <v>200</v>
      </c>
      <c r="B90" s="6" t="str">
        <f>HYPERLINK("[#]Feature_Schema_1!A13529:F13529","CANTONMENT_AREA_S")</f>
        <v>CANTONMENT_AREA_S</v>
      </c>
      <c r="E90" t="s">
        <v>201</v>
      </c>
      <c r="F90" t="s">
        <v>201</v>
      </c>
      <c r="G90" t="s">
        <v>201</v>
      </c>
      <c r="H90">
        <v>170162</v>
      </c>
      <c r="I90" t="s">
        <v>202</v>
      </c>
    </row>
    <row r="91" spans="1:9" x14ac:dyDescent="0.2">
      <c r="A91" t="s">
        <v>203</v>
      </c>
      <c r="B91" s="6" t="str">
        <f>HYPERLINK("[#]Feature_Schema_1!A13583:F13583","CARAVAN_PARK_S")</f>
        <v>CARAVAN_PARK_S</v>
      </c>
      <c r="C91" t="s">
        <v>178</v>
      </c>
      <c r="D91" t="s">
        <v>178</v>
      </c>
      <c r="E91" t="s">
        <v>178</v>
      </c>
      <c r="F91" t="s">
        <v>178</v>
      </c>
      <c r="G91" t="s">
        <v>178</v>
      </c>
      <c r="H91">
        <v>100040</v>
      </c>
      <c r="I91" t="s">
        <v>204</v>
      </c>
    </row>
    <row r="92" spans="1:9" x14ac:dyDescent="0.2">
      <c r="A92" t="s">
        <v>205</v>
      </c>
      <c r="B92" s="6" t="str">
        <f>HYPERLINK("[#]Feature_Schema_1!A13692:F13692","CART_TRACK_C")</f>
        <v>CART_TRACK_C</v>
      </c>
      <c r="C92" t="s">
        <v>87</v>
      </c>
      <c r="D92" t="s">
        <v>87</v>
      </c>
      <c r="E92" t="s">
        <v>87</v>
      </c>
      <c r="F92" t="s">
        <v>87</v>
      </c>
      <c r="G92" t="s">
        <v>87</v>
      </c>
      <c r="H92">
        <v>100150</v>
      </c>
      <c r="I92" t="s">
        <v>206</v>
      </c>
    </row>
    <row r="93" spans="1:9" x14ac:dyDescent="0.2">
      <c r="A93" t="s">
        <v>207</v>
      </c>
      <c r="B93" s="6" t="str">
        <f>HYPERLINK("[#]Feature_Schema_1!A13801:F13801","CASTLE_COMPLEX_P")</f>
        <v>CASTLE_COMPLEX_P</v>
      </c>
      <c r="C93" t="s">
        <v>208</v>
      </c>
      <c r="D93" t="s">
        <v>208</v>
      </c>
      <c r="E93" t="s">
        <v>208</v>
      </c>
      <c r="F93" t="s">
        <v>208</v>
      </c>
      <c r="G93" t="s">
        <v>208</v>
      </c>
      <c r="H93">
        <v>132642</v>
      </c>
      <c r="I93" t="s">
        <v>209</v>
      </c>
    </row>
    <row r="94" spans="1:9" x14ac:dyDescent="0.2">
      <c r="A94" t="s">
        <v>207</v>
      </c>
      <c r="B94" s="6" t="str">
        <f>HYPERLINK("[#]Feature_Schema_1!A13931:F13931","CASTLE_COMPLEX_S")</f>
        <v>CASTLE_COMPLEX_S</v>
      </c>
      <c r="C94" t="s">
        <v>201</v>
      </c>
      <c r="D94" t="s">
        <v>201</v>
      </c>
      <c r="E94" t="s">
        <v>201</v>
      </c>
      <c r="F94" t="s">
        <v>201</v>
      </c>
      <c r="G94" t="s">
        <v>201</v>
      </c>
      <c r="H94">
        <v>132642</v>
      </c>
      <c r="I94" t="s">
        <v>210</v>
      </c>
    </row>
    <row r="95" spans="1:9" x14ac:dyDescent="0.2">
      <c r="A95" t="s">
        <v>211</v>
      </c>
      <c r="B95" s="6" t="str">
        <f>HYPERLINK("[#]Feature_Schema_1!A14061:F14061","CASTLE_P")</f>
        <v>CASTLE_P</v>
      </c>
      <c r="C95" t="s">
        <v>208</v>
      </c>
      <c r="D95" t="s">
        <v>208</v>
      </c>
      <c r="E95" t="s">
        <v>208</v>
      </c>
      <c r="F95" t="s">
        <v>208</v>
      </c>
      <c r="G95" t="s">
        <v>208</v>
      </c>
      <c r="H95">
        <v>100128</v>
      </c>
      <c r="I95" t="s">
        <v>212</v>
      </c>
    </row>
    <row r="96" spans="1:9" x14ac:dyDescent="0.2">
      <c r="A96" t="s">
        <v>211</v>
      </c>
      <c r="B96" s="6" t="str">
        <f>HYPERLINK("[#]Feature_Schema_1!A14215:F14215","CASTLE_S")</f>
        <v>CASTLE_S</v>
      </c>
      <c r="C96" t="s">
        <v>201</v>
      </c>
      <c r="D96" t="s">
        <v>201</v>
      </c>
      <c r="E96" t="s">
        <v>201</v>
      </c>
      <c r="F96" t="s">
        <v>201</v>
      </c>
      <c r="G96" t="s">
        <v>201</v>
      </c>
      <c r="H96">
        <v>100128</v>
      </c>
      <c r="I96" t="s">
        <v>213</v>
      </c>
    </row>
    <row r="97" spans="1:11" x14ac:dyDescent="0.2">
      <c r="A97" t="s">
        <v>214</v>
      </c>
      <c r="B97" s="6" t="str">
        <f>HYPERLINK("[#]Feature_Schema_1!A14369:F14369","CATALYTIC_CRACKER_P")</f>
        <v>CATALYTIC_CRACKER_P</v>
      </c>
      <c r="C97" t="s">
        <v>131</v>
      </c>
      <c r="D97" t="s">
        <v>131</v>
      </c>
      <c r="E97" t="s">
        <v>131</v>
      </c>
      <c r="F97" t="s">
        <v>131</v>
      </c>
      <c r="G97" t="s">
        <v>131</v>
      </c>
      <c r="H97">
        <v>100013</v>
      </c>
      <c r="I97" t="s">
        <v>215</v>
      </c>
    </row>
    <row r="98" spans="1:11" x14ac:dyDescent="0.2">
      <c r="A98" t="s">
        <v>214</v>
      </c>
      <c r="B98" s="6" t="str">
        <f>HYPERLINK("[#]Feature_Schema_1!A14471:F14471","CATALYTIC_CRACKER_S")</f>
        <v>CATALYTIC_CRACKER_S</v>
      </c>
      <c r="F98" t="s">
        <v>17</v>
      </c>
      <c r="G98" t="s">
        <v>17</v>
      </c>
      <c r="H98">
        <v>100013</v>
      </c>
      <c r="I98" t="s">
        <v>216</v>
      </c>
    </row>
    <row r="99" spans="1:11" x14ac:dyDescent="0.2">
      <c r="A99" t="s">
        <v>217</v>
      </c>
      <c r="B99" s="6" t="str">
        <f>HYPERLINK("[#]Feature_Schema_1!A14573:F14573","CAUSEWAY_STRUCTURE_C")</f>
        <v>CAUSEWAY_STRUCTURE_C</v>
      </c>
      <c r="C99" t="s">
        <v>87</v>
      </c>
      <c r="D99" t="s">
        <v>87</v>
      </c>
      <c r="E99" t="s">
        <v>87</v>
      </c>
      <c r="F99" t="s">
        <v>87</v>
      </c>
      <c r="G99" t="s">
        <v>87</v>
      </c>
      <c r="H99">
        <v>130381</v>
      </c>
      <c r="I99" t="s">
        <v>218</v>
      </c>
    </row>
    <row r="100" spans="1:11" x14ac:dyDescent="0.2">
      <c r="A100" t="s">
        <v>217</v>
      </c>
      <c r="B100" s="6" t="str">
        <f>HYPERLINK("[#]Feature_Schema_1!A14722:F14722","CAUSEWAY_STRUCTURE_S")</f>
        <v>CAUSEWAY_STRUCTURE_S</v>
      </c>
      <c r="E100" t="s">
        <v>89</v>
      </c>
      <c r="F100" t="s">
        <v>89</v>
      </c>
      <c r="G100" t="s">
        <v>89</v>
      </c>
      <c r="H100">
        <v>130381</v>
      </c>
      <c r="I100" t="s">
        <v>219</v>
      </c>
    </row>
    <row r="101" spans="1:11" x14ac:dyDescent="0.2">
      <c r="A101" t="s">
        <v>220</v>
      </c>
      <c r="B101" s="6" t="str">
        <f>HYPERLINK("[#]Feature_Schema_1!A14871:F14871","CAVE_CHAMBER_S")</f>
        <v>CAVE_CHAMBER_S</v>
      </c>
      <c r="E101" t="s">
        <v>84</v>
      </c>
      <c r="F101" t="s">
        <v>84</v>
      </c>
      <c r="G101" t="s">
        <v>84</v>
      </c>
      <c r="H101">
        <v>154959</v>
      </c>
      <c r="I101" t="s">
        <v>221</v>
      </c>
    </row>
    <row r="102" spans="1:11" x14ac:dyDescent="0.2">
      <c r="A102" t="s">
        <v>222</v>
      </c>
      <c r="B102" s="6" t="str">
        <f>HYPERLINK("[#]Feature_Schema_1!A14969:F14969","CAVE_MOUTH_P")</f>
        <v>CAVE_MOUTH_P</v>
      </c>
      <c r="C102" t="s">
        <v>223</v>
      </c>
      <c r="D102" t="s">
        <v>223</v>
      </c>
      <c r="E102" t="s">
        <v>223</v>
      </c>
      <c r="F102" t="s">
        <v>223</v>
      </c>
      <c r="G102" t="s">
        <v>223</v>
      </c>
      <c r="H102">
        <v>154961</v>
      </c>
      <c r="I102" t="s">
        <v>224</v>
      </c>
    </row>
    <row r="103" spans="1:11" x14ac:dyDescent="0.2">
      <c r="A103" t="s">
        <v>225</v>
      </c>
      <c r="B103" s="6" t="str">
        <f>HYPERLINK("[#]Feature_Schema_1!A15063:F15063","CEMETERY_P")</f>
        <v>CEMETERY_P</v>
      </c>
      <c r="C103" t="s">
        <v>92</v>
      </c>
      <c r="D103" t="s">
        <v>92</v>
      </c>
      <c r="E103" t="s">
        <v>92</v>
      </c>
      <c r="F103" t="s">
        <v>92</v>
      </c>
      <c r="G103" t="s">
        <v>92</v>
      </c>
      <c r="H103">
        <v>100092</v>
      </c>
      <c r="I103" t="s">
        <v>226</v>
      </c>
    </row>
    <row r="104" spans="1:11" x14ac:dyDescent="0.2">
      <c r="A104" t="s">
        <v>225</v>
      </c>
      <c r="B104" s="6" t="str">
        <f>HYPERLINK("[#]Feature_Schema_1!A15149:F15149","CEMETERY_S")</f>
        <v>CEMETERY_S</v>
      </c>
      <c r="C104" t="s">
        <v>94</v>
      </c>
      <c r="D104" t="s">
        <v>94</v>
      </c>
      <c r="E104" t="s">
        <v>94</v>
      </c>
      <c r="F104" t="s">
        <v>94</v>
      </c>
      <c r="G104" t="s">
        <v>94</v>
      </c>
      <c r="H104">
        <v>100092</v>
      </c>
      <c r="I104" t="s">
        <v>227</v>
      </c>
    </row>
    <row r="105" spans="1:11" x14ac:dyDescent="0.2">
      <c r="A105" t="s">
        <v>228</v>
      </c>
      <c r="B105" s="6" t="str">
        <f>HYPERLINK("[#]Feature_Schema_1!A15235:F15235","CHECKPOINT_P")</f>
        <v>CHECKPOINT_P</v>
      </c>
      <c r="C105" t="s">
        <v>149</v>
      </c>
      <c r="D105" t="s">
        <v>149</v>
      </c>
      <c r="E105" t="s">
        <v>149</v>
      </c>
      <c r="F105" t="s">
        <v>149</v>
      </c>
      <c r="G105" t="s">
        <v>149</v>
      </c>
      <c r="H105">
        <v>100039</v>
      </c>
      <c r="I105" t="s">
        <v>229</v>
      </c>
    </row>
    <row r="106" spans="1:11" x14ac:dyDescent="0.2">
      <c r="A106" t="s">
        <v>230</v>
      </c>
      <c r="B106" s="6" t="str">
        <f>HYPERLINK("[#]Feature_Schema_1!A15340:F15340","CISTERN_AON_S")</f>
        <v>CISTERN_AON_S</v>
      </c>
      <c r="E106" t="s">
        <v>76</v>
      </c>
      <c r="G106" t="s">
        <v>76</v>
      </c>
      <c r="H106">
        <v>202</v>
      </c>
      <c r="I106" t="s">
        <v>231</v>
      </c>
    </row>
    <row r="107" spans="1:11" x14ac:dyDescent="0.2">
      <c r="A107" t="s">
        <v>232</v>
      </c>
      <c r="B107" s="6" t="str">
        <f>HYPERLINK("[#]Feature_Schema_1!A15556:F15556","CISTERN_P")</f>
        <v>CISTERN_P</v>
      </c>
      <c r="C107" t="s">
        <v>233</v>
      </c>
      <c r="D107" t="s">
        <v>233</v>
      </c>
      <c r="E107" t="s">
        <v>233</v>
      </c>
      <c r="F107" t="s">
        <v>233</v>
      </c>
      <c r="G107" t="s">
        <v>233</v>
      </c>
      <c r="H107">
        <v>100329</v>
      </c>
      <c r="I107" t="s">
        <v>234</v>
      </c>
    </row>
    <row r="108" spans="1:11" x14ac:dyDescent="0.2">
      <c r="A108" t="s">
        <v>235</v>
      </c>
      <c r="B108" s="6" t="str">
        <f>HYPERLINK("[#]Feature_Schema_1!A15773:F15773","CLEARED_WAY_C")</f>
        <v>CLEARED_WAY_C</v>
      </c>
      <c r="D108" t="s">
        <v>236</v>
      </c>
      <c r="E108" t="s">
        <v>236</v>
      </c>
      <c r="F108" t="s">
        <v>236</v>
      </c>
      <c r="G108" t="s">
        <v>236</v>
      </c>
      <c r="H108">
        <v>100396</v>
      </c>
      <c r="I108" t="s">
        <v>237</v>
      </c>
    </row>
    <row r="109" spans="1:11" x14ac:dyDescent="0.2">
      <c r="A109" t="s">
        <v>235</v>
      </c>
      <c r="B109" s="6" t="str">
        <f>HYPERLINK("[#]Feature_Schema_1!A15811:F15811","CLEARED_WAY_S")</f>
        <v>CLEARED_WAY_S</v>
      </c>
      <c r="E109" t="s">
        <v>135</v>
      </c>
      <c r="F109" t="s">
        <v>135</v>
      </c>
      <c r="G109" t="s">
        <v>135</v>
      </c>
      <c r="H109">
        <v>100396</v>
      </c>
      <c r="I109" t="s">
        <v>238</v>
      </c>
    </row>
    <row r="110" spans="1:11" x14ac:dyDescent="0.2">
      <c r="A110" t="s">
        <v>239</v>
      </c>
      <c r="B110" s="7" t="str">
        <f>HYPERLINK("[#]Feature_Schema_1!A15849:F15849","CODE_LIST_T")</f>
        <v>CODE_LIST_T</v>
      </c>
      <c r="H110">
        <v>213</v>
      </c>
      <c r="I110" t="s">
        <v>240</v>
      </c>
      <c r="K110" t="s">
        <v>1141</v>
      </c>
    </row>
    <row r="111" spans="1:11" x14ac:dyDescent="0.2">
      <c r="A111" t="s">
        <v>241</v>
      </c>
      <c r="B111" s="6" t="str">
        <f>HYPERLINK("[#]Feature_Schema_1!A15873:F15873","CONSERVATION_AREA_S")</f>
        <v>CONSERVATION_AREA_S</v>
      </c>
      <c r="C111" t="s">
        <v>94</v>
      </c>
      <c r="D111" t="s">
        <v>94</v>
      </c>
      <c r="E111" t="s">
        <v>94</v>
      </c>
      <c r="F111" t="s">
        <v>94</v>
      </c>
      <c r="G111" t="s">
        <v>94</v>
      </c>
      <c r="H111">
        <v>100417</v>
      </c>
      <c r="I111" t="s">
        <v>242</v>
      </c>
    </row>
    <row r="112" spans="1:11" x14ac:dyDescent="0.2">
      <c r="A112" t="s">
        <v>243</v>
      </c>
      <c r="B112" s="6" t="str">
        <f>HYPERLINK("[#]Feature_Schema_1!A15937:F15937","CONTAMINATED_REGION_P")</f>
        <v>CONTAMINATED_REGION_P</v>
      </c>
      <c r="F112" t="s">
        <v>92</v>
      </c>
      <c r="G112" t="s">
        <v>92</v>
      </c>
      <c r="H112">
        <v>100409</v>
      </c>
      <c r="I112" t="s">
        <v>244</v>
      </c>
    </row>
    <row r="113" spans="1:11" x14ac:dyDescent="0.2">
      <c r="A113" t="s">
        <v>243</v>
      </c>
      <c r="B113" s="6" t="str">
        <f>HYPERLINK("[#]Feature_Schema_1!A15992:F15992","CONTAMINATED_REGION_S")</f>
        <v>CONTAMINATED_REGION_S</v>
      </c>
      <c r="F113" t="s">
        <v>94</v>
      </c>
      <c r="G113" t="s">
        <v>94</v>
      </c>
      <c r="H113">
        <v>100409</v>
      </c>
      <c r="I113" t="s">
        <v>245</v>
      </c>
    </row>
    <row r="114" spans="1:11" x14ac:dyDescent="0.2">
      <c r="A114" t="s">
        <v>246</v>
      </c>
      <c r="B114" s="6" t="str">
        <f>HYPERLINK("[#]Feature_Schema_1!A16047:F16047","CONTROL_TOWER_P")</f>
        <v>CONTROL_TOWER_P</v>
      </c>
      <c r="C114" t="s">
        <v>32</v>
      </c>
      <c r="D114" t="s">
        <v>32</v>
      </c>
      <c r="E114" t="s">
        <v>32</v>
      </c>
      <c r="F114" t="s">
        <v>32</v>
      </c>
      <c r="G114" t="s">
        <v>32</v>
      </c>
      <c r="H114">
        <v>100167</v>
      </c>
      <c r="I114" t="s">
        <v>247</v>
      </c>
    </row>
    <row r="115" spans="1:11" x14ac:dyDescent="0.2">
      <c r="A115" t="s">
        <v>246</v>
      </c>
      <c r="B115" s="6" t="str">
        <f>HYPERLINK("[#]Feature_Schema_1!A16279:F16279","CONTROL_TOWER_S")</f>
        <v>CONTROL_TOWER_S</v>
      </c>
      <c r="E115" t="s">
        <v>34</v>
      </c>
      <c r="F115" t="s">
        <v>34</v>
      </c>
      <c r="G115" t="s">
        <v>34</v>
      </c>
      <c r="H115">
        <v>100167</v>
      </c>
      <c r="I115" t="s">
        <v>248</v>
      </c>
    </row>
    <row r="116" spans="1:11" x14ac:dyDescent="0.2">
      <c r="A116" t="s">
        <v>249</v>
      </c>
      <c r="B116" s="6" t="str">
        <f>HYPERLINK("[#]Feature_Schema_1!A16511:F16511","CONVEYOR_C")</f>
        <v>CONVEYOR_C</v>
      </c>
      <c r="C116" t="s">
        <v>250</v>
      </c>
      <c r="D116" t="s">
        <v>250</v>
      </c>
      <c r="E116" t="s">
        <v>250</v>
      </c>
      <c r="F116" t="s">
        <v>250</v>
      </c>
      <c r="G116" t="s">
        <v>250</v>
      </c>
      <c r="H116">
        <v>100026</v>
      </c>
      <c r="I116" t="s">
        <v>251</v>
      </c>
    </row>
    <row r="117" spans="1:11" x14ac:dyDescent="0.2">
      <c r="A117" t="s">
        <v>249</v>
      </c>
      <c r="B117" s="6" t="str">
        <f>HYPERLINK("[#]Feature_Schema_1!A16637:F16637","CONVEYOR_P")</f>
        <v>CONVEYOR_P</v>
      </c>
      <c r="E117" t="s">
        <v>131</v>
      </c>
      <c r="F117" t="s">
        <v>131</v>
      </c>
      <c r="G117" t="s">
        <v>131</v>
      </c>
      <c r="H117">
        <v>100026</v>
      </c>
      <c r="I117" t="s">
        <v>252</v>
      </c>
    </row>
    <row r="118" spans="1:11" x14ac:dyDescent="0.2">
      <c r="A118" t="s">
        <v>253</v>
      </c>
      <c r="B118" s="6" t="str">
        <f>HYPERLINK("[#]Feature_Schema_1!A16763:F16763","COOLING_FACILITY_P")</f>
        <v>COOLING_FACILITY_P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>
        <v>100697</v>
      </c>
      <c r="I118" t="s">
        <v>254</v>
      </c>
    </row>
    <row r="119" spans="1:11" x14ac:dyDescent="0.2">
      <c r="A119" t="s">
        <v>253</v>
      </c>
      <c r="B119" s="6" t="str">
        <f>HYPERLINK("[#]Feature_Schema_1!A16851:F16851","COOLING_FACILITY_S")</f>
        <v>COOLING_FACILITY_S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>
        <v>100697</v>
      </c>
      <c r="I119" t="s">
        <v>255</v>
      </c>
    </row>
    <row r="120" spans="1:11" x14ac:dyDescent="0.2">
      <c r="A120" t="s">
        <v>256</v>
      </c>
      <c r="B120" s="6" t="str">
        <f>HYPERLINK("[#]Feature_Schema_1!A16939:F16939","COOLING_TOWER_P")</f>
        <v>COOLING_TOWER_P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>
        <v>100028</v>
      </c>
      <c r="I120" t="s">
        <v>257</v>
      </c>
    </row>
    <row r="121" spans="1:11" x14ac:dyDescent="0.2">
      <c r="A121" t="s">
        <v>256</v>
      </c>
      <c r="B121" s="6" t="str">
        <f>HYPERLINK("[#]Feature_Schema_1!A17041:F17041","COOLING_TOWER_S")</f>
        <v>COOLING_TOWER_S</v>
      </c>
      <c r="E121" t="s">
        <v>22</v>
      </c>
      <c r="F121" t="s">
        <v>22</v>
      </c>
      <c r="G121" t="s">
        <v>22</v>
      </c>
      <c r="H121">
        <v>100028</v>
      </c>
      <c r="I121" t="s">
        <v>258</v>
      </c>
    </row>
    <row r="122" spans="1:11" x14ac:dyDescent="0.2">
      <c r="A122" t="s">
        <v>259</v>
      </c>
      <c r="B122" s="6" t="str">
        <f>HYPERLINK("[#]Feature_Schema_1!A17143:F17143","COURTYARD_S")</f>
        <v>COURTYARD_S</v>
      </c>
      <c r="F122" t="s">
        <v>94</v>
      </c>
      <c r="G122" t="s">
        <v>94</v>
      </c>
      <c r="H122">
        <v>100688</v>
      </c>
      <c r="I122" t="s">
        <v>260</v>
      </c>
    </row>
    <row r="123" spans="1:11" x14ac:dyDescent="0.2">
      <c r="A123" t="s">
        <v>261</v>
      </c>
      <c r="B123" s="6" t="str">
        <f>HYPERLINK("[#]Feature_Schema_1!A17229:F17229","CRANE_P")</f>
        <v>CRANE_P</v>
      </c>
      <c r="C123" t="s">
        <v>131</v>
      </c>
      <c r="D123" t="s">
        <v>131</v>
      </c>
      <c r="E123" t="s">
        <v>131</v>
      </c>
      <c r="F123" t="s">
        <v>131</v>
      </c>
      <c r="G123" t="s">
        <v>131</v>
      </c>
      <c r="H123">
        <v>100029</v>
      </c>
      <c r="I123" t="s">
        <v>262</v>
      </c>
    </row>
    <row r="124" spans="1:11" x14ac:dyDescent="0.2">
      <c r="A124" t="s">
        <v>261</v>
      </c>
      <c r="B124" s="6" t="str">
        <f>HYPERLINK("[#]Feature_Schema_1!A17363:F17363","CRANE_S")</f>
        <v>CRANE_S</v>
      </c>
      <c r="F124" t="s">
        <v>17</v>
      </c>
      <c r="G124" t="s">
        <v>17</v>
      </c>
      <c r="H124">
        <v>100029</v>
      </c>
      <c r="I124" t="s">
        <v>263</v>
      </c>
    </row>
    <row r="125" spans="1:11" x14ac:dyDescent="0.2">
      <c r="A125" t="s">
        <v>264</v>
      </c>
      <c r="B125" s="7" t="str">
        <f>HYPERLINK("[#]Feature_Schema_1!A17497:F17497","CRATER_P")</f>
        <v>CRATER_P</v>
      </c>
      <c r="D125" t="s">
        <v>265</v>
      </c>
      <c r="E125" t="s">
        <v>265</v>
      </c>
      <c r="F125" t="s">
        <v>265</v>
      </c>
      <c r="G125" t="s">
        <v>265</v>
      </c>
      <c r="H125">
        <v>100376</v>
      </c>
      <c r="I125" t="s">
        <v>266</v>
      </c>
      <c r="K125" t="s">
        <v>1141</v>
      </c>
    </row>
    <row r="126" spans="1:11" x14ac:dyDescent="0.2">
      <c r="A126" t="s">
        <v>264</v>
      </c>
      <c r="B126" s="7" t="str">
        <f>HYPERLINK("[#]Feature_Schema_1!A17537:F17537","CRATER_S")</f>
        <v>CRATER_S</v>
      </c>
      <c r="E126" t="s">
        <v>121</v>
      </c>
      <c r="F126" t="s">
        <v>121</v>
      </c>
      <c r="G126" t="s">
        <v>121</v>
      </c>
      <c r="H126">
        <v>100376</v>
      </c>
      <c r="I126" t="s">
        <v>267</v>
      </c>
      <c r="K126" t="s">
        <v>1141</v>
      </c>
    </row>
    <row r="127" spans="1:11" x14ac:dyDescent="0.2">
      <c r="A127" t="s">
        <v>268</v>
      </c>
      <c r="B127" s="6" t="str">
        <f>HYPERLINK("[#]Feature_Schema_1!A17577:F17577","CREVASSE_C")</f>
        <v>CREVASSE_C</v>
      </c>
      <c r="C127" t="s">
        <v>269</v>
      </c>
      <c r="D127" t="s">
        <v>269</v>
      </c>
      <c r="E127" t="s">
        <v>269</v>
      </c>
      <c r="F127" t="s">
        <v>269</v>
      </c>
      <c r="G127" t="s">
        <v>269</v>
      </c>
      <c r="H127">
        <v>100342</v>
      </c>
      <c r="I127" t="s">
        <v>270</v>
      </c>
    </row>
    <row r="128" spans="1:11" x14ac:dyDescent="0.2">
      <c r="A128" t="s">
        <v>268</v>
      </c>
      <c r="B128" s="6" t="str">
        <f>HYPERLINK("[#]Feature_Schema_1!A17617:F17617","CREVASSE_S")</f>
        <v>CREVASSE_S</v>
      </c>
      <c r="C128" t="s">
        <v>97</v>
      </c>
      <c r="D128" t="s">
        <v>97</v>
      </c>
      <c r="E128" t="s">
        <v>97</v>
      </c>
      <c r="F128" t="s">
        <v>97</v>
      </c>
      <c r="G128" t="s">
        <v>97</v>
      </c>
      <c r="H128">
        <v>100342</v>
      </c>
      <c r="I128" t="s">
        <v>271</v>
      </c>
    </row>
    <row r="129" spans="1:10" x14ac:dyDescent="0.2">
      <c r="A129" t="s">
        <v>272</v>
      </c>
      <c r="B129" s="6" t="str">
        <f>HYPERLINK("[#]Feature_Schema_1!A17657:F17657","CREVICE_C")</f>
        <v>CREVICE_C</v>
      </c>
      <c r="C129" t="s">
        <v>269</v>
      </c>
      <c r="D129" t="s">
        <v>269</v>
      </c>
      <c r="E129" t="s">
        <v>269</v>
      </c>
      <c r="F129" t="s">
        <v>269</v>
      </c>
      <c r="G129" t="s">
        <v>269</v>
      </c>
      <c r="H129">
        <v>100365</v>
      </c>
      <c r="I129" t="s">
        <v>273</v>
      </c>
    </row>
    <row r="130" spans="1:10" x14ac:dyDescent="0.2">
      <c r="A130" t="s">
        <v>272</v>
      </c>
      <c r="B130" s="6" t="str">
        <f>HYPERLINK("[#]Feature_Schema_1!A17712:F17712","CREVICE_S")</f>
        <v>CREVICE_S</v>
      </c>
      <c r="C130" t="s">
        <v>97</v>
      </c>
      <c r="D130" t="s">
        <v>97</v>
      </c>
      <c r="E130" t="s">
        <v>97</v>
      </c>
      <c r="F130" t="s">
        <v>97</v>
      </c>
      <c r="G130" t="s">
        <v>97</v>
      </c>
      <c r="H130">
        <v>100365</v>
      </c>
      <c r="I130" t="s">
        <v>274</v>
      </c>
    </row>
    <row r="131" spans="1:10" x14ac:dyDescent="0.2">
      <c r="A131" t="s">
        <v>275</v>
      </c>
      <c r="B131" s="6" t="str">
        <f>HYPERLINK("[#]Feature_Schema_1!A17767:F17767","CRIB_P")</f>
        <v>CRIB_P</v>
      </c>
      <c r="C131" t="s">
        <v>71</v>
      </c>
      <c r="D131" t="s">
        <v>71</v>
      </c>
      <c r="E131" t="s">
        <v>71</v>
      </c>
      <c r="F131" t="s">
        <v>71</v>
      </c>
      <c r="G131" t="s">
        <v>71</v>
      </c>
      <c r="H131">
        <v>100264</v>
      </c>
      <c r="I131" t="s">
        <v>276</v>
      </c>
    </row>
    <row r="132" spans="1:10" x14ac:dyDescent="0.2">
      <c r="A132" t="s">
        <v>275</v>
      </c>
      <c r="B132" s="6" t="str">
        <f>HYPERLINK("[#]Feature_Schema_1!A17884:F17884","CRIB_S")</f>
        <v>CRIB_S</v>
      </c>
      <c r="E132" t="s">
        <v>73</v>
      </c>
      <c r="F132" t="s">
        <v>73</v>
      </c>
      <c r="G132" t="s">
        <v>73</v>
      </c>
      <c r="H132">
        <v>100264</v>
      </c>
      <c r="I132" t="s">
        <v>277</v>
      </c>
    </row>
    <row r="133" spans="1:10" x14ac:dyDescent="0.2">
      <c r="A133" t="s">
        <v>278</v>
      </c>
      <c r="B133" s="6" t="str">
        <f>HYPERLINK("[#]Feature_Schema_1!A18001:F18001","CROP_LAND_S")</f>
        <v>CROP_LAND_S</v>
      </c>
      <c r="C133" t="s">
        <v>107</v>
      </c>
      <c r="D133" t="s">
        <v>107</v>
      </c>
      <c r="E133" t="s">
        <v>107</v>
      </c>
      <c r="F133" t="s">
        <v>107</v>
      </c>
      <c r="G133" t="s">
        <v>107</v>
      </c>
      <c r="H133">
        <v>100380</v>
      </c>
      <c r="I133" t="s">
        <v>279</v>
      </c>
    </row>
    <row r="134" spans="1:10" x14ac:dyDescent="0.2">
      <c r="A134" t="s">
        <v>280</v>
      </c>
      <c r="B134" s="6" t="str">
        <f>HYPERLINK("[#]Feature_Schema_1!A18192:F18192","CROSSING_P")</f>
        <v>CROSSING_P</v>
      </c>
      <c r="C134" t="s">
        <v>149</v>
      </c>
      <c r="D134" t="s">
        <v>149</v>
      </c>
      <c r="E134" t="s">
        <v>149</v>
      </c>
      <c r="F134" t="s">
        <v>149</v>
      </c>
      <c r="G134" t="s">
        <v>149</v>
      </c>
      <c r="H134">
        <v>100168</v>
      </c>
      <c r="I134" t="s">
        <v>281</v>
      </c>
    </row>
    <row r="135" spans="1:10" x14ac:dyDescent="0.2">
      <c r="A135" t="s">
        <v>282</v>
      </c>
      <c r="B135" s="6" t="str">
        <f>HYPERLINK("[#]Feature_Schema_1!A18274:F18274","CULTURAL_CONTEXT_LOCATION_P")</f>
        <v>CULTURAL_CONTEXT_LOCATION_P</v>
      </c>
      <c r="C135" t="s">
        <v>283</v>
      </c>
      <c r="D135" t="s">
        <v>283</v>
      </c>
      <c r="E135" t="s">
        <v>283</v>
      </c>
      <c r="F135" t="s">
        <v>283</v>
      </c>
      <c r="G135" t="s">
        <v>283</v>
      </c>
      <c r="H135">
        <v>100474</v>
      </c>
      <c r="I135" t="s">
        <v>284</v>
      </c>
    </row>
    <row r="136" spans="1:10" x14ac:dyDescent="0.2">
      <c r="A136" t="s">
        <v>282</v>
      </c>
      <c r="B136" s="6" t="str">
        <f>HYPERLINK("[#]Feature_Schema_1!A18336:F18336","CULTURAL_CONTEXT_LOCATION_S")</f>
        <v>CULTURAL_CONTEXT_LOCATION_S</v>
      </c>
      <c r="C136" t="s">
        <v>285</v>
      </c>
      <c r="D136" t="s">
        <v>285</v>
      </c>
      <c r="E136" t="s">
        <v>285</v>
      </c>
      <c r="F136" t="s">
        <v>285</v>
      </c>
      <c r="G136" t="s">
        <v>285</v>
      </c>
      <c r="H136">
        <v>100474</v>
      </c>
      <c r="I136" t="s">
        <v>286</v>
      </c>
    </row>
    <row r="137" spans="1:10" x14ac:dyDescent="0.2">
      <c r="A137" t="s">
        <v>287</v>
      </c>
      <c r="B137" s="6" t="str">
        <f>HYPERLINK("[#]Feature_Schema_1!A18398:F18398","CULVERT_C")</f>
        <v>CULVERT_C</v>
      </c>
      <c r="E137" t="s">
        <v>87</v>
      </c>
      <c r="F137" t="s">
        <v>87</v>
      </c>
      <c r="G137" t="s">
        <v>87</v>
      </c>
      <c r="H137">
        <v>100170</v>
      </c>
      <c r="I137" t="s">
        <v>288</v>
      </c>
    </row>
    <row r="138" spans="1:10" x14ac:dyDescent="0.2">
      <c r="A138" t="s">
        <v>287</v>
      </c>
      <c r="B138" s="6" t="str">
        <f>HYPERLINK("[#]Feature_Schema_1!A18478:F18478","CULVERT_P")</f>
        <v>CULVERT_P</v>
      </c>
      <c r="E138" t="s">
        <v>149</v>
      </c>
      <c r="F138" t="s">
        <v>149</v>
      </c>
      <c r="G138" t="s">
        <v>149</v>
      </c>
      <c r="H138">
        <v>100170</v>
      </c>
      <c r="I138" t="s">
        <v>289</v>
      </c>
    </row>
    <row r="139" spans="1:10" x14ac:dyDescent="0.2">
      <c r="A139" t="s">
        <v>290</v>
      </c>
      <c r="B139" s="6" t="str">
        <f>HYPERLINK("[#]Feature_Schema_1!A18558:F18558","CUT_C")</f>
        <v>CUT_C</v>
      </c>
      <c r="C139" t="s">
        <v>269</v>
      </c>
      <c r="D139" t="s">
        <v>269</v>
      </c>
      <c r="E139" t="s">
        <v>269</v>
      </c>
      <c r="F139" t="s">
        <v>269</v>
      </c>
      <c r="G139" t="s">
        <v>269</v>
      </c>
      <c r="H139">
        <v>100366</v>
      </c>
      <c r="I139" t="s">
        <v>291</v>
      </c>
    </row>
    <row r="140" spans="1:10" x14ac:dyDescent="0.2">
      <c r="A140" t="s">
        <v>292</v>
      </c>
      <c r="B140" s="6" t="str">
        <f>HYPERLINK("[#]Feature_Schema_1!A18638:F18638","CUT_LINE_C")</f>
        <v>CUT_LINE_C</v>
      </c>
      <c r="C140" t="s">
        <v>269</v>
      </c>
      <c r="D140" t="s">
        <v>269</v>
      </c>
      <c r="E140" t="s">
        <v>269</v>
      </c>
      <c r="F140" t="s">
        <v>269</v>
      </c>
      <c r="G140" t="s">
        <v>269</v>
      </c>
      <c r="H140">
        <v>192101</v>
      </c>
      <c r="I140" t="s">
        <v>293</v>
      </c>
    </row>
    <row r="141" spans="1:10" x14ac:dyDescent="0.2">
      <c r="A141" t="s">
        <v>294</v>
      </c>
      <c r="B141" s="6" t="str">
        <f>HYPERLINK("[#]Feature_Schema_1!A18695:F18695","DAM_C")</f>
        <v>DAM_C</v>
      </c>
      <c r="C141" t="s">
        <v>79</v>
      </c>
      <c r="D141" t="s">
        <v>79</v>
      </c>
      <c r="E141" t="s">
        <v>79</v>
      </c>
      <c r="F141" t="s">
        <v>79</v>
      </c>
      <c r="G141" t="s">
        <v>79</v>
      </c>
      <c r="H141">
        <v>100330</v>
      </c>
      <c r="I141" t="s">
        <v>295</v>
      </c>
    </row>
    <row r="142" spans="1:10" x14ac:dyDescent="0.2">
      <c r="A142" t="s">
        <v>294</v>
      </c>
      <c r="B142" s="6" t="str">
        <f>HYPERLINK("[#]Feature_Schema_1!A18896:F18896","DAM_P")</f>
        <v>DAM_P</v>
      </c>
      <c r="C142" t="s">
        <v>233</v>
      </c>
      <c r="D142" t="s">
        <v>233</v>
      </c>
      <c r="E142" t="s">
        <v>233</v>
      </c>
      <c r="F142" t="s">
        <v>233</v>
      </c>
      <c r="G142" t="s">
        <v>233</v>
      </c>
      <c r="H142">
        <v>100330</v>
      </c>
      <c r="I142" t="s">
        <v>296</v>
      </c>
    </row>
    <row r="143" spans="1:10" x14ac:dyDescent="0.2">
      <c r="A143" t="s">
        <v>294</v>
      </c>
      <c r="B143" s="6" t="str">
        <f>HYPERLINK("[#]Feature_Schema_1!A19097:F19097","DAM_S")</f>
        <v>DAM_S</v>
      </c>
      <c r="C143" t="s">
        <v>81</v>
      </c>
      <c r="D143" t="s">
        <v>81</v>
      </c>
      <c r="E143" t="s">
        <v>81</v>
      </c>
      <c r="F143" t="s">
        <v>81</v>
      </c>
      <c r="G143" t="s">
        <v>81</v>
      </c>
      <c r="H143">
        <v>100330</v>
      </c>
      <c r="I143" t="s">
        <v>297</v>
      </c>
    </row>
    <row r="144" spans="1:10" s="8" customFormat="1" x14ac:dyDescent="0.2">
      <c r="A144" s="8" t="s">
        <v>298</v>
      </c>
      <c r="B144" s="9" t="str">
        <f>HYPERLINK("[#]Feature_Schema_1!A19298:F19298","DATASET_S")</f>
        <v>DATASET_S</v>
      </c>
      <c r="C144" s="8" t="s">
        <v>299</v>
      </c>
      <c r="D144" s="8" t="s">
        <v>299</v>
      </c>
      <c r="E144" s="8" t="s">
        <v>299</v>
      </c>
      <c r="F144" s="8" t="s">
        <v>299</v>
      </c>
      <c r="G144" s="8" t="s">
        <v>299</v>
      </c>
      <c r="H144" s="8">
        <v>121591</v>
      </c>
      <c r="I144" s="8" t="s">
        <v>300</v>
      </c>
      <c r="J144" s="8" t="s">
        <v>301</v>
      </c>
    </row>
    <row r="145" spans="1:11" s="8" customFormat="1" x14ac:dyDescent="0.2">
      <c r="A145" s="8" t="s">
        <v>298</v>
      </c>
      <c r="B145" s="7" t="str">
        <f>HYPERLINK("[#]Feature_Schema_1!A19340:F19340","DATASET_T")</f>
        <v>DATASET_T</v>
      </c>
      <c r="H145" s="8">
        <v>121591</v>
      </c>
      <c r="I145" s="8" t="s">
        <v>302</v>
      </c>
      <c r="J145" s="8" t="s">
        <v>301</v>
      </c>
      <c r="K145"/>
    </row>
    <row r="146" spans="1:11" x14ac:dyDescent="0.2">
      <c r="A146" t="s">
        <v>303</v>
      </c>
      <c r="B146" s="6" t="str">
        <f>HYPERLINK("[#]Feature_Schema_1!A19382:F19382","DEFENSIVE_REVETMENT_C")</f>
        <v>DEFENSIVE_REVETMENT_C</v>
      </c>
      <c r="E146" t="s">
        <v>304</v>
      </c>
      <c r="F146" t="s">
        <v>304</v>
      </c>
      <c r="G146" t="s">
        <v>304</v>
      </c>
      <c r="H146">
        <v>100446</v>
      </c>
      <c r="I146" t="s">
        <v>305</v>
      </c>
    </row>
    <row r="147" spans="1:11" x14ac:dyDescent="0.2">
      <c r="A147" t="s">
        <v>306</v>
      </c>
      <c r="B147" s="6" t="str">
        <f>HYPERLINK("[#]Feature_Schema_1!A19481:F19481","DEPRESSION_P")</f>
        <v>DEPRESSION_P</v>
      </c>
      <c r="C147" t="s">
        <v>265</v>
      </c>
      <c r="D147" t="s">
        <v>265</v>
      </c>
      <c r="G147" t="s">
        <v>265</v>
      </c>
      <c r="H147">
        <v>100367</v>
      </c>
      <c r="I147" t="s">
        <v>307</v>
      </c>
    </row>
    <row r="148" spans="1:11" x14ac:dyDescent="0.2">
      <c r="A148" t="s">
        <v>306</v>
      </c>
      <c r="B148" s="6" t="str">
        <f>HYPERLINK("[#]Feature_Schema_1!A19524:F19524","DEPRESSION_S")</f>
        <v>DEPRESSION_S</v>
      </c>
      <c r="C148" t="s">
        <v>97</v>
      </c>
      <c r="D148" t="s">
        <v>97</v>
      </c>
      <c r="E148" t="s">
        <v>97</v>
      </c>
      <c r="F148" t="s">
        <v>97</v>
      </c>
      <c r="G148" t="s">
        <v>97</v>
      </c>
      <c r="H148">
        <v>100367</v>
      </c>
      <c r="I148" t="s">
        <v>308</v>
      </c>
    </row>
    <row r="149" spans="1:11" x14ac:dyDescent="0.2">
      <c r="A149" t="s">
        <v>309</v>
      </c>
      <c r="B149" s="6" t="str">
        <f>HYPERLINK("[#]Feature_Schema_1!A19567:F19567","DEPTH_AREA_S")</f>
        <v>DEPTH_AREA_S</v>
      </c>
      <c r="E149" t="s">
        <v>73</v>
      </c>
      <c r="F149" t="s">
        <v>73</v>
      </c>
      <c r="G149" t="s">
        <v>73</v>
      </c>
      <c r="H149">
        <v>100282</v>
      </c>
      <c r="I149" t="s">
        <v>310</v>
      </c>
    </row>
    <row r="150" spans="1:11" x14ac:dyDescent="0.2">
      <c r="A150" t="s">
        <v>311</v>
      </c>
      <c r="B150" s="6" t="str">
        <f>HYPERLINK("[#]Feature_Schema_1!A19597:F19597","DEPTH_CONTOUR_C")</f>
        <v>DEPTH_CONTOUR_C</v>
      </c>
      <c r="C150" t="s">
        <v>312</v>
      </c>
      <c r="D150" t="s">
        <v>312</v>
      </c>
      <c r="E150" t="s">
        <v>312</v>
      </c>
      <c r="F150" t="s">
        <v>312</v>
      </c>
      <c r="G150" t="s">
        <v>312</v>
      </c>
      <c r="H150">
        <v>100281</v>
      </c>
      <c r="I150" t="s">
        <v>313</v>
      </c>
    </row>
    <row r="151" spans="1:11" x14ac:dyDescent="0.2">
      <c r="A151" t="s">
        <v>314</v>
      </c>
      <c r="B151" s="6" t="str">
        <f>HYPERLINK("[#]Feature_Schema_1!A19628:F19628","DEPTH_CURVE_C")</f>
        <v>DEPTH_CURVE_C</v>
      </c>
      <c r="E151" t="s">
        <v>312</v>
      </c>
      <c r="F151" t="s">
        <v>312</v>
      </c>
      <c r="G151" t="s">
        <v>312</v>
      </c>
      <c r="H151">
        <v>100280</v>
      </c>
      <c r="I151" t="s">
        <v>315</v>
      </c>
    </row>
    <row r="152" spans="1:11" x14ac:dyDescent="0.2">
      <c r="A152" t="s">
        <v>316</v>
      </c>
      <c r="B152" s="6" t="str">
        <f>HYPERLINK("[#]Feature_Schema_1!A19817:F19817","DESERT_S")</f>
        <v>DESERT_S</v>
      </c>
      <c r="C152" t="s">
        <v>97</v>
      </c>
      <c r="D152" t="s">
        <v>97</v>
      </c>
      <c r="G152" t="s">
        <v>97</v>
      </c>
      <c r="H152">
        <v>100403</v>
      </c>
      <c r="I152" t="s">
        <v>317</v>
      </c>
    </row>
    <row r="153" spans="1:11" x14ac:dyDescent="0.2">
      <c r="A153" t="s">
        <v>318</v>
      </c>
      <c r="B153" s="6" t="str">
        <f>HYPERLINK("[#]Feature_Schema_1!A19896:F19896","DISCOLOURED_WATER_P")</f>
        <v>DISCOLOURED_WATER_P</v>
      </c>
      <c r="E153" t="s">
        <v>71</v>
      </c>
      <c r="F153" t="s">
        <v>71</v>
      </c>
      <c r="G153" t="s">
        <v>71</v>
      </c>
      <c r="H153">
        <v>100265</v>
      </c>
      <c r="I153" t="s">
        <v>319</v>
      </c>
    </row>
    <row r="154" spans="1:11" x14ac:dyDescent="0.2">
      <c r="A154" t="s">
        <v>318</v>
      </c>
      <c r="B154" s="6" t="str">
        <f>HYPERLINK("[#]Feature_Schema_1!A19933:F19933","DISCOLOURED_WATER_S")</f>
        <v>DISCOLOURED_WATER_S</v>
      </c>
      <c r="E154" t="s">
        <v>73</v>
      </c>
      <c r="F154" t="s">
        <v>73</v>
      </c>
      <c r="G154" t="s">
        <v>73</v>
      </c>
      <c r="H154">
        <v>100265</v>
      </c>
      <c r="I154" t="s">
        <v>320</v>
      </c>
    </row>
    <row r="155" spans="1:11" x14ac:dyDescent="0.2">
      <c r="A155" t="s">
        <v>321</v>
      </c>
      <c r="B155" s="6" t="str">
        <f>HYPERLINK("[#]Feature_Schema_1!A19970:F19970","DISH_AERIAL_P")</f>
        <v>DISH_AERIAL_P</v>
      </c>
      <c r="D155" t="s">
        <v>20</v>
      </c>
      <c r="E155" t="s">
        <v>20</v>
      </c>
      <c r="F155" t="s">
        <v>20</v>
      </c>
      <c r="G155" t="s">
        <v>20</v>
      </c>
      <c r="H155">
        <v>100200</v>
      </c>
      <c r="I155" t="s">
        <v>322</v>
      </c>
    </row>
    <row r="156" spans="1:11" x14ac:dyDescent="0.2">
      <c r="A156" t="s">
        <v>323</v>
      </c>
      <c r="B156" s="6" t="str">
        <f>HYPERLINK("[#]Feature_Schema_1!A20051:F20051","DISPOSAL_SITE_P")</f>
        <v>DISPOSAL_SITE_P</v>
      </c>
      <c r="C156" t="s">
        <v>131</v>
      </c>
      <c r="D156" t="s">
        <v>131</v>
      </c>
      <c r="G156" t="s">
        <v>131</v>
      </c>
      <c r="H156">
        <v>100007</v>
      </c>
      <c r="I156" t="s">
        <v>324</v>
      </c>
    </row>
    <row r="157" spans="1:11" x14ac:dyDescent="0.2">
      <c r="A157" t="s">
        <v>323</v>
      </c>
      <c r="B157" s="6" t="str">
        <f>HYPERLINK("[#]Feature_Schema_1!A20133:F20133","DISPOSAL_SITE_S")</f>
        <v>DISPOSAL_SITE_S</v>
      </c>
      <c r="C157" t="s">
        <v>17</v>
      </c>
      <c r="D157" t="s">
        <v>17</v>
      </c>
      <c r="E157" t="s">
        <v>17</v>
      </c>
      <c r="F157" t="s">
        <v>17</v>
      </c>
      <c r="G157" t="s">
        <v>17</v>
      </c>
      <c r="H157">
        <v>100007</v>
      </c>
      <c r="I157" t="s">
        <v>325</v>
      </c>
    </row>
    <row r="158" spans="1:11" x14ac:dyDescent="0.2">
      <c r="A158" t="s">
        <v>326</v>
      </c>
      <c r="B158" s="6" t="str">
        <f>HYPERLINK("[#]Feature_Schema_1!A20215:F20215","DISTANCE_MARK_P")</f>
        <v>DISTANCE_MARK_P</v>
      </c>
      <c r="E158" t="s">
        <v>327</v>
      </c>
      <c r="F158" t="s">
        <v>327</v>
      </c>
      <c r="G158" t="s">
        <v>327</v>
      </c>
      <c r="H158">
        <v>100467</v>
      </c>
      <c r="I158" t="s">
        <v>328</v>
      </c>
    </row>
    <row r="159" spans="1:11" x14ac:dyDescent="0.2">
      <c r="A159" t="s">
        <v>329</v>
      </c>
      <c r="B159" s="6" t="str">
        <f>HYPERLINK("[#]Feature_Schema_1!A20288:F20288","DITCH_AON_S")</f>
        <v>DITCH_AON_S</v>
      </c>
      <c r="E159" t="s">
        <v>76</v>
      </c>
      <c r="G159" t="s">
        <v>76</v>
      </c>
      <c r="H159">
        <v>203</v>
      </c>
      <c r="I159" t="s">
        <v>330</v>
      </c>
    </row>
    <row r="160" spans="1:11" x14ac:dyDescent="0.2">
      <c r="A160" t="s">
        <v>331</v>
      </c>
      <c r="B160" s="6" t="str">
        <f>HYPERLINK("[#]Feature_Schema_1!A20517:F20517","DITCH_C")</f>
        <v>DITCH_C</v>
      </c>
      <c r="C160" t="s">
        <v>79</v>
      </c>
      <c r="D160" t="s">
        <v>79</v>
      </c>
      <c r="E160" t="s">
        <v>79</v>
      </c>
      <c r="F160" t="s">
        <v>79</v>
      </c>
      <c r="G160" t="s">
        <v>79</v>
      </c>
      <c r="H160">
        <v>100298</v>
      </c>
      <c r="I160" t="s">
        <v>332</v>
      </c>
    </row>
    <row r="161" spans="1:11" x14ac:dyDescent="0.2">
      <c r="A161" t="s">
        <v>331</v>
      </c>
      <c r="B161" s="6" t="str">
        <f>HYPERLINK("[#]Feature_Schema_1!A20982:F20982","DITCH_S")</f>
        <v>DITCH_S</v>
      </c>
      <c r="D161" t="s">
        <v>81</v>
      </c>
      <c r="E161" t="s">
        <v>81</v>
      </c>
      <c r="F161" t="s">
        <v>81</v>
      </c>
      <c r="G161" t="s">
        <v>81</v>
      </c>
      <c r="H161">
        <v>100298</v>
      </c>
      <c r="I161" t="s">
        <v>333</v>
      </c>
    </row>
    <row r="162" spans="1:11" x14ac:dyDescent="0.2">
      <c r="A162" t="s">
        <v>334</v>
      </c>
      <c r="B162" s="6" t="str">
        <f>HYPERLINK("[#]Feature_Schema_1!A21447:F21447","DOLPHIN_P")</f>
        <v>DOLPHIN_P</v>
      </c>
      <c r="E162" t="s">
        <v>50</v>
      </c>
      <c r="F162" t="s">
        <v>50</v>
      </c>
      <c r="G162" t="s">
        <v>50</v>
      </c>
      <c r="H162">
        <v>100230</v>
      </c>
      <c r="I162" t="s">
        <v>335</v>
      </c>
    </row>
    <row r="163" spans="1:11" x14ac:dyDescent="0.2">
      <c r="A163" t="s">
        <v>336</v>
      </c>
      <c r="B163" s="6" t="str">
        <f>HYPERLINK("[#]Feature_Schema_1!A21499:F21499","DRAGONS_TEETH_C")</f>
        <v>DRAGONS_TEETH_C</v>
      </c>
      <c r="D163" t="s">
        <v>304</v>
      </c>
      <c r="E163" t="s">
        <v>304</v>
      </c>
      <c r="F163" t="s">
        <v>304</v>
      </c>
      <c r="G163" t="s">
        <v>304</v>
      </c>
      <c r="H163">
        <v>100096</v>
      </c>
      <c r="I163" t="s">
        <v>337</v>
      </c>
    </row>
    <row r="164" spans="1:11" x14ac:dyDescent="0.2">
      <c r="A164" t="s">
        <v>336</v>
      </c>
      <c r="B164" s="6" t="str">
        <f>HYPERLINK("[#]Feature_Schema_1!A21567:F21567","DRAGONS_TEETH_S")</f>
        <v>DRAGONS_TEETH_S</v>
      </c>
      <c r="E164" t="s">
        <v>201</v>
      </c>
      <c r="F164" t="s">
        <v>201</v>
      </c>
      <c r="G164" t="s">
        <v>201</v>
      </c>
      <c r="H164">
        <v>100096</v>
      </c>
      <c r="I164" t="s">
        <v>338</v>
      </c>
    </row>
    <row r="165" spans="1:11" x14ac:dyDescent="0.2">
      <c r="A165" t="s">
        <v>339</v>
      </c>
      <c r="B165" s="7" t="str">
        <f>HYPERLINK("[#]Feature_Schema_1!A21635:F21635","DRAINAGE_BASIN_S")</f>
        <v>DRAINAGE_BASIN_S</v>
      </c>
      <c r="E165" t="s">
        <v>121</v>
      </c>
      <c r="F165" t="s">
        <v>121</v>
      </c>
      <c r="G165" t="s">
        <v>121</v>
      </c>
      <c r="H165">
        <v>1813853</v>
      </c>
      <c r="I165" t="s">
        <v>340</v>
      </c>
      <c r="K165" t="s">
        <v>1141</v>
      </c>
    </row>
    <row r="166" spans="1:11" x14ac:dyDescent="0.2">
      <c r="A166" t="s">
        <v>341</v>
      </c>
      <c r="B166" s="6" t="str">
        <f>HYPERLINK("[#]Feature_Schema_1!A21687:F21687","DREDGED_AREA_S")</f>
        <v>DREDGED_AREA_S</v>
      </c>
      <c r="E166" t="s">
        <v>73</v>
      </c>
      <c r="F166" t="s">
        <v>73</v>
      </c>
      <c r="G166" t="s">
        <v>73</v>
      </c>
      <c r="H166">
        <v>106241</v>
      </c>
      <c r="I166" t="s">
        <v>342</v>
      </c>
    </row>
    <row r="167" spans="1:11" x14ac:dyDescent="0.2">
      <c r="A167" t="s">
        <v>343</v>
      </c>
      <c r="B167" s="6" t="str">
        <f>HYPERLINK("[#]Feature_Schema_1!A21898:F21898","DRIVE_IN_THEATRE_S")</f>
        <v>DRIVE_IN_THEATRE_S</v>
      </c>
      <c r="E167" t="s">
        <v>39</v>
      </c>
      <c r="F167" t="s">
        <v>39</v>
      </c>
      <c r="G167" t="s">
        <v>39</v>
      </c>
      <c r="H167">
        <v>100059</v>
      </c>
      <c r="I167" t="s">
        <v>344</v>
      </c>
    </row>
    <row r="168" spans="1:11" x14ac:dyDescent="0.2">
      <c r="A168" t="s">
        <v>345</v>
      </c>
      <c r="B168" s="6" t="str">
        <f>HYPERLINK("[#]Feature_Schema_1!A21998:F21998","DRY_DOCK_S")</f>
        <v>DRY_DOCK_S</v>
      </c>
      <c r="C168" t="s">
        <v>346</v>
      </c>
      <c r="D168" t="s">
        <v>346</v>
      </c>
      <c r="E168" t="s">
        <v>346</v>
      </c>
      <c r="F168" t="s">
        <v>346</v>
      </c>
      <c r="G168" t="s">
        <v>346</v>
      </c>
      <c r="H168">
        <v>100233</v>
      </c>
      <c r="I168" t="s">
        <v>347</v>
      </c>
    </row>
    <row r="169" spans="1:11" x14ac:dyDescent="0.2">
      <c r="A169" t="s">
        <v>348</v>
      </c>
      <c r="B169" s="6" t="str">
        <f>HYPERLINK("[#]Feature_Schema_1!A22113:F22113","ELECTRIC_POWER_STATION_P")</f>
        <v>ELECTRIC_POWER_STATION_P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>
        <v>100018</v>
      </c>
      <c r="I169" t="s">
        <v>349</v>
      </c>
    </row>
    <row r="170" spans="1:11" x14ac:dyDescent="0.2">
      <c r="A170" t="s">
        <v>348</v>
      </c>
      <c r="B170" s="6" t="str">
        <f>HYPERLINK("[#]Feature_Schema_1!A22244:F22244","ELECTRIC_POWER_STATION_S")</f>
        <v>ELECTRIC_POWER_STATION_S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>
        <v>100018</v>
      </c>
      <c r="I170" t="s">
        <v>350</v>
      </c>
    </row>
    <row r="171" spans="1:11" x14ac:dyDescent="0.2">
      <c r="A171" t="s">
        <v>351</v>
      </c>
      <c r="B171" s="6" t="str">
        <f>HYPERLINK("[#]Feature_Schema_1!A22375:F22375","ELEVATION_CONTOUR_C")</f>
        <v>ELEVATION_CONTOUR_C</v>
      </c>
      <c r="C171" t="s">
        <v>352</v>
      </c>
      <c r="D171" t="s">
        <v>352</v>
      </c>
      <c r="E171" t="s">
        <v>352</v>
      </c>
      <c r="F171" t="s">
        <v>352</v>
      </c>
      <c r="G171" t="s">
        <v>352</v>
      </c>
      <c r="H171">
        <v>100353</v>
      </c>
      <c r="I171" t="s">
        <v>353</v>
      </c>
    </row>
    <row r="172" spans="1:11" x14ac:dyDescent="0.2">
      <c r="A172" t="s">
        <v>354</v>
      </c>
      <c r="B172" s="6" t="str">
        <f>HYPERLINK("[#]Feature_Schema_1!A22438:F22438","EMBANKMENT_C")</f>
        <v>EMBANKMENT_C</v>
      </c>
      <c r="C172" t="s">
        <v>269</v>
      </c>
      <c r="D172" t="s">
        <v>269</v>
      </c>
      <c r="E172" t="s">
        <v>269</v>
      </c>
      <c r="F172" t="s">
        <v>269</v>
      </c>
      <c r="G172" t="s">
        <v>269</v>
      </c>
      <c r="H172">
        <v>100368</v>
      </c>
      <c r="I172" t="s">
        <v>355</v>
      </c>
    </row>
    <row r="173" spans="1:11" x14ac:dyDescent="0.2">
      <c r="A173" t="s">
        <v>354</v>
      </c>
      <c r="B173" s="6" t="str">
        <f>HYPERLINK("[#]Feature_Schema_1!A22598:F22598","EMBANKMENT_S")</f>
        <v>EMBANKMENT_S</v>
      </c>
      <c r="E173" t="s">
        <v>97</v>
      </c>
      <c r="F173" t="s">
        <v>97</v>
      </c>
      <c r="G173" t="s">
        <v>97</v>
      </c>
      <c r="H173">
        <v>100368</v>
      </c>
      <c r="I173" t="s">
        <v>356</v>
      </c>
    </row>
    <row r="174" spans="1:11" x14ac:dyDescent="0.2">
      <c r="A174" t="s">
        <v>357</v>
      </c>
      <c r="B174" s="6" t="str">
        <f>HYPERLINK("[#]Feature_Schema_1!A22758:F22758","ENGINE_TEST_CELL_P")</f>
        <v>ENGINE_TEST_CELL_P</v>
      </c>
      <c r="C174" t="s">
        <v>100</v>
      </c>
      <c r="D174" t="s">
        <v>100</v>
      </c>
      <c r="E174" t="s">
        <v>100</v>
      </c>
      <c r="F174" t="s">
        <v>100</v>
      </c>
      <c r="G174" t="s">
        <v>100</v>
      </c>
      <c r="H174">
        <v>100031</v>
      </c>
      <c r="I174" t="s">
        <v>358</v>
      </c>
    </row>
    <row r="175" spans="1:11" x14ac:dyDescent="0.2">
      <c r="A175" t="s">
        <v>357</v>
      </c>
      <c r="B175" s="6" t="str">
        <f>HYPERLINK("[#]Feature_Schema_1!A22839:F22839","ENGINE_TEST_CELL_S")</f>
        <v>ENGINE_TEST_CELL_S</v>
      </c>
      <c r="E175" t="s">
        <v>102</v>
      </c>
      <c r="F175" t="s">
        <v>102</v>
      </c>
      <c r="G175" t="s">
        <v>102</v>
      </c>
      <c r="H175">
        <v>100031</v>
      </c>
      <c r="I175" t="s">
        <v>359</v>
      </c>
    </row>
    <row r="176" spans="1:11" x14ac:dyDescent="0.2">
      <c r="A176" t="s">
        <v>360</v>
      </c>
      <c r="B176" s="6" t="str">
        <f>HYPERLINK("[#]Feature_Schema_1!A22920:F22920","ENGINEERED_EARTHWORK_C")</f>
        <v>ENGINEERED_EARTHWORK_C</v>
      </c>
      <c r="C176" t="s">
        <v>304</v>
      </c>
      <c r="D176" t="s">
        <v>304</v>
      </c>
      <c r="E176" t="s">
        <v>304</v>
      </c>
      <c r="F176" t="s">
        <v>304</v>
      </c>
      <c r="G176" t="s">
        <v>304</v>
      </c>
      <c r="H176">
        <v>132596</v>
      </c>
      <c r="I176" t="s">
        <v>361</v>
      </c>
    </row>
    <row r="177" spans="1:11" x14ac:dyDescent="0.2">
      <c r="A177" t="s">
        <v>360</v>
      </c>
      <c r="B177" s="6" t="str">
        <f>HYPERLINK("[#]Feature_Schema_1!A23018:F23018","ENGINEERED_EARTHWORK_S")</f>
        <v>ENGINEERED_EARTHWORK_S</v>
      </c>
      <c r="E177" t="s">
        <v>201</v>
      </c>
      <c r="F177" t="s">
        <v>201</v>
      </c>
      <c r="G177" t="s">
        <v>201</v>
      </c>
      <c r="H177">
        <v>132596</v>
      </c>
      <c r="I177" t="s">
        <v>362</v>
      </c>
    </row>
    <row r="178" spans="1:11" x14ac:dyDescent="0.2">
      <c r="A178" t="s">
        <v>363</v>
      </c>
      <c r="B178" s="6" t="str">
        <f>HYPERLINK("[#]Feature_Schema_1!A23116:F23116","ENGINEERED_TURNAROUND_SITE_P")</f>
        <v>ENGINEERED_TURNAROUND_SITE_P</v>
      </c>
      <c r="F178" t="s">
        <v>149</v>
      </c>
      <c r="G178" t="s">
        <v>149</v>
      </c>
      <c r="H178">
        <v>179969</v>
      </c>
      <c r="I178" t="s">
        <v>364</v>
      </c>
    </row>
    <row r="179" spans="1:11" s="8" customFormat="1" x14ac:dyDescent="0.2">
      <c r="A179" s="8" t="s">
        <v>365</v>
      </c>
      <c r="B179" s="9" t="str">
        <f>HYPERLINK("[#]Feature_Schema_1!A23191:F23191","ENTITY_COLLECTION_METADATA_S")</f>
        <v>ENTITY_COLLECTION_METADATA_S</v>
      </c>
      <c r="C179" s="8" t="s">
        <v>366</v>
      </c>
      <c r="D179" s="8" t="s">
        <v>366</v>
      </c>
      <c r="E179" s="8" t="s">
        <v>366</v>
      </c>
      <c r="F179" s="8" t="s">
        <v>366</v>
      </c>
      <c r="G179" s="8" t="s">
        <v>366</v>
      </c>
      <c r="H179" s="8">
        <v>132721</v>
      </c>
      <c r="I179" s="8" t="s">
        <v>367</v>
      </c>
      <c r="J179" s="8" t="s">
        <v>301</v>
      </c>
    </row>
    <row r="180" spans="1:11" s="8" customFormat="1" x14ac:dyDescent="0.2">
      <c r="A180" s="8" t="s">
        <v>365</v>
      </c>
      <c r="B180" s="7" t="str">
        <f>HYPERLINK("[#]Feature_Schema_1!A23217:F23217","ENTITY_COLLECTION_METADATA_T")</f>
        <v>ENTITY_COLLECTION_METADATA_T</v>
      </c>
      <c r="H180" s="8">
        <v>132721</v>
      </c>
      <c r="I180" s="8" t="s">
        <v>368</v>
      </c>
      <c r="J180" s="8" t="s">
        <v>301</v>
      </c>
      <c r="K180"/>
    </row>
    <row r="181" spans="1:11" x14ac:dyDescent="0.2">
      <c r="A181" t="s">
        <v>369</v>
      </c>
      <c r="B181" s="6" t="str">
        <f>HYPERLINK("[#]Feature_Schema_1!A23243:F23243","ESKER_C")</f>
        <v>ESKER_C</v>
      </c>
      <c r="D181" t="s">
        <v>269</v>
      </c>
      <c r="E181" t="s">
        <v>269</v>
      </c>
      <c r="F181" t="s">
        <v>269</v>
      </c>
      <c r="G181" t="s">
        <v>269</v>
      </c>
      <c r="H181">
        <v>100369</v>
      </c>
      <c r="I181" t="s">
        <v>370</v>
      </c>
    </row>
    <row r="182" spans="1:11" x14ac:dyDescent="0.2">
      <c r="A182" t="s">
        <v>371</v>
      </c>
      <c r="B182" s="6" t="str">
        <f>HYPERLINK("[#]Feature_Schema_1!A23284:F23284","EXCAVATING_MACHINE_C")</f>
        <v>EXCAVATING_MACHINE_C</v>
      </c>
      <c r="E182" t="s">
        <v>250</v>
      </c>
      <c r="F182" t="s">
        <v>250</v>
      </c>
      <c r="G182" t="s">
        <v>250</v>
      </c>
      <c r="H182">
        <v>100030</v>
      </c>
      <c r="I182" t="s">
        <v>372</v>
      </c>
    </row>
    <row r="183" spans="1:11" x14ac:dyDescent="0.2">
      <c r="A183" t="s">
        <v>371</v>
      </c>
      <c r="B183" s="6" t="str">
        <f>HYPERLINK("[#]Feature_Schema_1!A23353:F23353","EXCAVATING_MACHINE_P")</f>
        <v>EXCAVATING_MACHINE_P</v>
      </c>
      <c r="C183" t="s">
        <v>131</v>
      </c>
      <c r="D183" t="s">
        <v>131</v>
      </c>
      <c r="G183" t="s">
        <v>131</v>
      </c>
      <c r="H183">
        <v>100030</v>
      </c>
      <c r="I183" t="s">
        <v>373</v>
      </c>
    </row>
    <row r="184" spans="1:11" x14ac:dyDescent="0.2">
      <c r="A184" t="s">
        <v>374</v>
      </c>
      <c r="B184" s="6" t="str">
        <f>HYPERLINK("[#]Feature_Schema_1!A23422:F23422","EXTRACTION_MINE_P")</f>
        <v>EXTRACTION_MINE_P</v>
      </c>
      <c r="C184" t="s">
        <v>131</v>
      </c>
      <c r="D184" t="s">
        <v>131</v>
      </c>
      <c r="E184" t="s">
        <v>131</v>
      </c>
      <c r="F184" t="s">
        <v>131</v>
      </c>
      <c r="G184" t="s">
        <v>131</v>
      </c>
      <c r="H184">
        <v>100001</v>
      </c>
      <c r="I184" t="s">
        <v>375</v>
      </c>
    </row>
    <row r="185" spans="1:11" x14ac:dyDescent="0.2">
      <c r="A185" t="s">
        <v>374</v>
      </c>
      <c r="B185" s="6" t="str">
        <f>HYPERLINK("[#]Feature_Schema_1!A23670:F23670","EXTRACTION_MINE_S")</f>
        <v>EXTRACTION_MINE_S</v>
      </c>
      <c r="C185" t="s">
        <v>17</v>
      </c>
      <c r="D185" t="s">
        <v>17</v>
      </c>
      <c r="E185" t="s">
        <v>17</v>
      </c>
      <c r="F185" t="s">
        <v>17</v>
      </c>
      <c r="G185" t="s">
        <v>17</v>
      </c>
      <c r="H185">
        <v>100001</v>
      </c>
      <c r="I185" t="s">
        <v>376</v>
      </c>
    </row>
    <row r="186" spans="1:11" x14ac:dyDescent="0.2">
      <c r="A186" t="s">
        <v>377</v>
      </c>
      <c r="B186" s="6" t="str">
        <f>HYPERLINK("[#]Feature_Schema_1!A23918:F23918","FACILITY_P")</f>
        <v>FACILITY_P</v>
      </c>
      <c r="C186" t="s">
        <v>378</v>
      </c>
      <c r="D186" t="s">
        <v>378</v>
      </c>
      <c r="E186" t="s">
        <v>378</v>
      </c>
      <c r="F186" t="s">
        <v>378</v>
      </c>
      <c r="G186" t="s">
        <v>378</v>
      </c>
      <c r="H186">
        <v>100080</v>
      </c>
      <c r="I186" t="s">
        <v>379</v>
      </c>
    </row>
    <row r="187" spans="1:11" x14ac:dyDescent="0.2">
      <c r="A187" t="s">
        <v>377</v>
      </c>
      <c r="B187" s="6" t="str">
        <f>HYPERLINK("[#]Feature_Schema_1!A25527:F25527","FACILITY_S")</f>
        <v>FACILITY_S</v>
      </c>
      <c r="C187" t="s">
        <v>380</v>
      </c>
      <c r="D187" t="s">
        <v>380</v>
      </c>
      <c r="E187" t="s">
        <v>380</v>
      </c>
      <c r="F187" t="s">
        <v>380</v>
      </c>
      <c r="G187" t="s">
        <v>380</v>
      </c>
      <c r="H187">
        <v>100080</v>
      </c>
      <c r="I187" t="s">
        <v>381</v>
      </c>
    </row>
    <row r="188" spans="1:11" x14ac:dyDescent="0.2">
      <c r="A188" t="s">
        <v>382</v>
      </c>
      <c r="B188" s="6" t="str">
        <f>HYPERLINK("[#]Feature_Schema_1!A27136:F27136","FAIRGROUND_S")</f>
        <v>FAIRGROUND_S</v>
      </c>
      <c r="C188" t="s">
        <v>39</v>
      </c>
      <c r="D188" t="s">
        <v>39</v>
      </c>
      <c r="E188" t="s">
        <v>39</v>
      </c>
      <c r="F188" t="s">
        <v>39</v>
      </c>
      <c r="G188" t="s">
        <v>39</v>
      </c>
      <c r="H188">
        <v>100061</v>
      </c>
      <c r="I188" t="s">
        <v>383</v>
      </c>
    </row>
    <row r="189" spans="1:11" x14ac:dyDescent="0.2">
      <c r="A189" t="s">
        <v>384</v>
      </c>
      <c r="B189" s="6" t="str">
        <f>HYPERLINK("[#]Feature_Schema_1!A27275:F27275","FENCE_C")</f>
        <v>FENCE_C</v>
      </c>
      <c r="C189" t="s">
        <v>171</v>
      </c>
      <c r="D189" t="s">
        <v>171</v>
      </c>
      <c r="E189" t="s">
        <v>171</v>
      </c>
      <c r="F189" t="s">
        <v>171</v>
      </c>
      <c r="G189" t="s">
        <v>171</v>
      </c>
      <c r="H189">
        <v>100098</v>
      </c>
      <c r="I189" t="s">
        <v>385</v>
      </c>
    </row>
    <row r="190" spans="1:11" x14ac:dyDescent="0.2">
      <c r="A190" t="s">
        <v>386</v>
      </c>
      <c r="B190" s="6" t="str">
        <f>HYPERLINK("[#]Feature_Schema_1!A27384:F27384","FERRY_CROSSING_C")</f>
        <v>FERRY_CROSSING_C</v>
      </c>
      <c r="C190" t="s">
        <v>110</v>
      </c>
      <c r="D190" t="s">
        <v>110</v>
      </c>
      <c r="E190" t="s">
        <v>110</v>
      </c>
      <c r="F190" t="s">
        <v>110</v>
      </c>
      <c r="G190" t="s">
        <v>110</v>
      </c>
      <c r="H190">
        <v>100172</v>
      </c>
      <c r="I190" t="s">
        <v>387</v>
      </c>
    </row>
    <row r="191" spans="1:11" x14ac:dyDescent="0.2">
      <c r="A191" t="s">
        <v>386</v>
      </c>
      <c r="B191" s="6" t="str">
        <f>HYPERLINK("[#]Feature_Schema_1!A27507:F27507","FERRY_CROSSING_P")</f>
        <v>FERRY_CROSSING_P</v>
      </c>
      <c r="D191" t="s">
        <v>388</v>
      </c>
      <c r="E191" t="s">
        <v>388</v>
      </c>
      <c r="F191" t="s">
        <v>388</v>
      </c>
      <c r="G191" t="s">
        <v>388</v>
      </c>
      <c r="H191">
        <v>100172</v>
      </c>
      <c r="I191" t="s">
        <v>389</v>
      </c>
    </row>
    <row r="192" spans="1:11" x14ac:dyDescent="0.2">
      <c r="A192" t="s">
        <v>390</v>
      </c>
      <c r="B192" s="6" t="str">
        <f>HYPERLINK("[#]Feature_Schema_1!A27630:F27630","FERRY_STATION_P")</f>
        <v>FERRY_STATION_P</v>
      </c>
      <c r="C192" t="s">
        <v>112</v>
      </c>
      <c r="D192" t="s">
        <v>112</v>
      </c>
      <c r="E192" t="s">
        <v>112</v>
      </c>
      <c r="F192" t="s">
        <v>112</v>
      </c>
      <c r="G192" t="s">
        <v>112</v>
      </c>
      <c r="H192">
        <v>100174</v>
      </c>
      <c r="I192" t="s">
        <v>391</v>
      </c>
    </row>
    <row r="193" spans="1:9" x14ac:dyDescent="0.2">
      <c r="A193" t="s">
        <v>390</v>
      </c>
      <c r="B193" s="6" t="str">
        <f>HYPERLINK("[#]Feature_Schema_1!A27851:F27851","FERRY_STATION_S")</f>
        <v>FERRY_STATION_S</v>
      </c>
      <c r="C193" t="s">
        <v>392</v>
      </c>
      <c r="D193" t="s">
        <v>392</v>
      </c>
      <c r="E193" t="s">
        <v>392</v>
      </c>
      <c r="F193" t="s">
        <v>392</v>
      </c>
      <c r="G193" t="s">
        <v>392</v>
      </c>
      <c r="H193">
        <v>100174</v>
      </c>
      <c r="I193" t="s">
        <v>393</v>
      </c>
    </row>
    <row r="194" spans="1:9" x14ac:dyDescent="0.2">
      <c r="A194" t="s">
        <v>394</v>
      </c>
      <c r="B194" s="6" t="str">
        <f>HYPERLINK("[#]Feature_Schema_1!A28072:F28072","FIRE_HYDRANT_P")</f>
        <v>FIRE_HYDRANT_P</v>
      </c>
      <c r="F194" t="s">
        <v>20</v>
      </c>
      <c r="G194" t="s">
        <v>20</v>
      </c>
      <c r="H194">
        <v>100086</v>
      </c>
      <c r="I194" t="s">
        <v>395</v>
      </c>
    </row>
    <row r="195" spans="1:9" x14ac:dyDescent="0.2">
      <c r="A195" t="s">
        <v>396</v>
      </c>
      <c r="B195" s="6" t="str">
        <f>HYPERLINK("[#]Feature_Schema_1!A28182:F28182","FIRING_RANGE_P")</f>
        <v>FIRING_RANGE_P</v>
      </c>
      <c r="D195" t="s">
        <v>208</v>
      </c>
      <c r="E195" t="s">
        <v>208</v>
      </c>
      <c r="F195" t="s">
        <v>208</v>
      </c>
      <c r="G195" t="s">
        <v>208</v>
      </c>
      <c r="H195">
        <v>100410</v>
      </c>
      <c r="I195" t="s">
        <v>397</v>
      </c>
    </row>
    <row r="196" spans="1:9" x14ac:dyDescent="0.2">
      <c r="A196" t="s">
        <v>396</v>
      </c>
      <c r="B196" s="6" t="str">
        <f>HYPERLINK("[#]Feature_Schema_1!A28307:F28307","FIRING_RANGE_S")</f>
        <v>FIRING_RANGE_S</v>
      </c>
      <c r="D196" t="s">
        <v>201</v>
      </c>
      <c r="E196" t="s">
        <v>201</v>
      </c>
      <c r="F196" t="s">
        <v>201</v>
      </c>
      <c r="G196" t="s">
        <v>201</v>
      </c>
      <c r="H196">
        <v>100410</v>
      </c>
      <c r="I196" t="s">
        <v>398</v>
      </c>
    </row>
    <row r="197" spans="1:9" x14ac:dyDescent="0.2">
      <c r="A197" t="s">
        <v>399</v>
      </c>
      <c r="B197" s="6" t="str">
        <f>HYPERLINK("[#]Feature_Schema_1!A28432:F28432","FISH_FARM_FACILITY_P")</f>
        <v>FISH_FARM_FACILITY_P</v>
      </c>
      <c r="C197" t="s">
        <v>105</v>
      </c>
      <c r="D197" t="s">
        <v>105</v>
      </c>
      <c r="E197" t="s">
        <v>105</v>
      </c>
      <c r="F197" t="s">
        <v>105</v>
      </c>
      <c r="G197" t="s">
        <v>105</v>
      </c>
      <c r="H197">
        <v>191951</v>
      </c>
      <c r="I197" t="s">
        <v>400</v>
      </c>
    </row>
    <row r="198" spans="1:9" x14ac:dyDescent="0.2">
      <c r="A198" t="s">
        <v>399</v>
      </c>
      <c r="B198" s="6" t="str">
        <f>HYPERLINK("[#]Feature_Schema_1!A28618:F28618","FISH_FARM_FACILITY_S")</f>
        <v>FISH_FARM_FACILITY_S</v>
      </c>
      <c r="C198" t="s">
        <v>107</v>
      </c>
      <c r="D198" t="s">
        <v>107</v>
      </c>
      <c r="E198" t="s">
        <v>107</v>
      </c>
      <c r="F198" t="s">
        <v>107</v>
      </c>
      <c r="G198" t="s">
        <v>107</v>
      </c>
      <c r="H198">
        <v>191951</v>
      </c>
      <c r="I198" t="s">
        <v>401</v>
      </c>
    </row>
    <row r="199" spans="1:9" x14ac:dyDescent="0.2">
      <c r="A199" t="s">
        <v>402</v>
      </c>
      <c r="B199" s="6" t="str">
        <f>HYPERLINK("[#]Feature_Schema_1!A28804:F28804","FISH_LADDER_C")</f>
        <v>FISH_LADDER_C</v>
      </c>
      <c r="F199" t="s">
        <v>79</v>
      </c>
      <c r="G199" t="s">
        <v>79</v>
      </c>
      <c r="H199">
        <v>100338</v>
      </c>
      <c r="I199" t="s">
        <v>403</v>
      </c>
    </row>
    <row r="200" spans="1:9" x14ac:dyDescent="0.2">
      <c r="A200" t="s">
        <v>404</v>
      </c>
      <c r="B200" s="6" t="str">
        <f>HYPERLINK("[#]Feature_Schema_1!A28857:F28857","FISH_WEIR_P")</f>
        <v>FISH_WEIR_P</v>
      </c>
      <c r="C200" t="s">
        <v>233</v>
      </c>
      <c r="D200" t="s">
        <v>233</v>
      </c>
      <c r="E200" t="s">
        <v>233</v>
      </c>
      <c r="F200" t="s">
        <v>233</v>
      </c>
      <c r="G200" t="s">
        <v>233</v>
      </c>
      <c r="H200">
        <v>100236</v>
      </c>
      <c r="I200" t="s">
        <v>405</v>
      </c>
    </row>
    <row r="201" spans="1:9" x14ac:dyDescent="0.2">
      <c r="A201" t="s">
        <v>404</v>
      </c>
      <c r="B201" s="6" t="str">
        <f>HYPERLINK("[#]Feature_Schema_1!A28916:F28916","FISH_WEIR_S")</f>
        <v>FISH_WEIR_S</v>
      </c>
      <c r="E201" t="s">
        <v>81</v>
      </c>
      <c r="F201" t="s">
        <v>81</v>
      </c>
      <c r="G201" t="s">
        <v>81</v>
      </c>
      <c r="H201">
        <v>100236</v>
      </c>
      <c r="I201" t="s">
        <v>406</v>
      </c>
    </row>
    <row r="202" spans="1:9" x14ac:dyDescent="0.2">
      <c r="A202" t="s">
        <v>407</v>
      </c>
      <c r="B202" s="6" t="str">
        <f>HYPERLINK("[#]Feature_Schema_1!A28975:F28975","FISHING_STAKES_C")</f>
        <v>FISHING_STAKES_C</v>
      </c>
      <c r="E202" t="s">
        <v>312</v>
      </c>
      <c r="F202" t="s">
        <v>312</v>
      </c>
      <c r="G202" t="s">
        <v>312</v>
      </c>
      <c r="H202">
        <v>100235</v>
      </c>
      <c r="I202" t="s">
        <v>408</v>
      </c>
    </row>
    <row r="203" spans="1:9" x14ac:dyDescent="0.2">
      <c r="A203" t="s">
        <v>409</v>
      </c>
      <c r="B203" s="6" t="str">
        <f>HYPERLINK("[#]Feature_Schema_1!A29021:F29021","FLAGPOLE_P")</f>
        <v>FLAGPOLE_P</v>
      </c>
      <c r="C203" t="s">
        <v>100</v>
      </c>
      <c r="D203" t="s">
        <v>100</v>
      </c>
      <c r="E203" t="s">
        <v>100</v>
      </c>
      <c r="F203" t="s">
        <v>100</v>
      </c>
      <c r="G203" t="s">
        <v>100</v>
      </c>
      <c r="H203">
        <v>100099</v>
      </c>
      <c r="I203" t="s">
        <v>410</v>
      </c>
    </row>
    <row r="204" spans="1:9" x14ac:dyDescent="0.2">
      <c r="A204" t="s">
        <v>411</v>
      </c>
      <c r="B204" s="6" t="str">
        <f>HYPERLINK("[#]Feature_Schema_1!A29071:F29071","FLARE_PIPE_P")</f>
        <v>FLARE_PIPE_P</v>
      </c>
      <c r="C204" t="s">
        <v>131</v>
      </c>
      <c r="D204" t="s">
        <v>131</v>
      </c>
      <c r="E204" t="s">
        <v>131</v>
      </c>
      <c r="F204" t="s">
        <v>131</v>
      </c>
      <c r="G204" t="s">
        <v>131</v>
      </c>
      <c r="H204">
        <v>100032</v>
      </c>
      <c r="I204" t="s">
        <v>412</v>
      </c>
    </row>
    <row r="205" spans="1:9" x14ac:dyDescent="0.2">
      <c r="A205" t="s">
        <v>413</v>
      </c>
      <c r="B205" s="6" t="str">
        <f>HYPERLINK("[#]Feature_Schema_1!A29163:F29163","FLOATING_DRY_DOCK_S")</f>
        <v>FLOATING_DRY_DOCK_S</v>
      </c>
      <c r="E205" t="s">
        <v>346</v>
      </c>
      <c r="F205" t="s">
        <v>346</v>
      </c>
      <c r="G205" t="s">
        <v>346</v>
      </c>
      <c r="H205">
        <v>100243</v>
      </c>
      <c r="I205" t="s">
        <v>414</v>
      </c>
    </row>
    <row r="206" spans="1:9" x14ac:dyDescent="0.2">
      <c r="A206" t="s">
        <v>415</v>
      </c>
      <c r="B206" s="6" t="str">
        <f>HYPERLINK("[#]Feature_Schema_1!A29241:F29241","FLOOD_CONTROL_STRUCTURE_C")</f>
        <v>FLOOD_CONTROL_STRUCTURE_C</v>
      </c>
      <c r="E206" t="s">
        <v>79</v>
      </c>
      <c r="G206" t="s">
        <v>79</v>
      </c>
      <c r="H206">
        <v>131207</v>
      </c>
      <c r="I206" t="s">
        <v>416</v>
      </c>
    </row>
    <row r="207" spans="1:9" x14ac:dyDescent="0.2">
      <c r="A207" t="s">
        <v>415</v>
      </c>
      <c r="B207" s="6" t="str">
        <f>HYPERLINK("[#]Feature_Schema_1!A29348:F29348","FLOOD_CONTROL_STRUCTURE_P")</f>
        <v>FLOOD_CONTROL_STRUCTURE_P</v>
      </c>
      <c r="C207" t="s">
        <v>233</v>
      </c>
      <c r="D207" t="s">
        <v>233</v>
      </c>
      <c r="G207" t="s">
        <v>233</v>
      </c>
      <c r="H207">
        <v>131207</v>
      </c>
      <c r="I207" t="s">
        <v>417</v>
      </c>
    </row>
    <row r="208" spans="1:9" x14ac:dyDescent="0.2">
      <c r="A208" t="s">
        <v>415</v>
      </c>
      <c r="B208" s="6" t="str">
        <f>HYPERLINK("[#]Feature_Schema_1!A29455:F29455","FLOOD_CONTROL_STRUCTURE_S")</f>
        <v>FLOOD_CONTROL_STRUCTURE_S</v>
      </c>
      <c r="E208" t="s">
        <v>81</v>
      </c>
      <c r="F208" t="s">
        <v>81</v>
      </c>
      <c r="G208" t="s">
        <v>81</v>
      </c>
      <c r="H208">
        <v>131207</v>
      </c>
      <c r="I208" t="s">
        <v>418</v>
      </c>
    </row>
    <row r="209" spans="1:9" x14ac:dyDescent="0.2">
      <c r="A209" t="s">
        <v>419</v>
      </c>
      <c r="B209" s="6" t="str">
        <f>HYPERLINK("[#]Feature_Schema_1!A29562:F29562","FORD_C")</f>
        <v>FORD_C</v>
      </c>
      <c r="C209" t="s">
        <v>87</v>
      </c>
      <c r="D209" t="s">
        <v>87</v>
      </c>
      <c r="E209" t="s">
        <v>87</v>
      </c>
      <c r="F209" t="s">
        <v>87</v>
      </c>
      <c r="G209" t="s">
        <v>87</v>
      </c>
      <c r="H209">
        <v>100302</v>
      </c>
      <c r="I209" t="s">
        <v>420</v>
      </c>
    </row>
    <row r="210" spans="1:9" x14ac:dyDescent="0.2">
      <c r="A210" t="s">
        <v>419</v>
      </c>
      <c r="B210" s="6" t="str">
        <f>HYPERLINK("[#]Feature_Schema_1!A29703:F29703","FORD_P")</f>
        <v>FORD_P</v>
      </c>
      <c r="C210" t="s">
        <v>149</v>
      </c>
      <c r="D210" t="s">
        <v>149</v>
      </c>
      <c r="E210" t="s">
        <v>149</v>
      </c>
      <c r="F210" t="s">
        <v>149</v>
      </c>
      <c r="G210" t="s">
        <v>149</v>
      </c>
      <c r="H210">
        <v>100302</v>
      </c>
      <c r="I210" t="s">
        <v>421</v>
      </c>
    </row>
    <row r="211" spans="1:9" x14ac:dyDescent="0.2">
      <c r="A211" t="s">
        <v>419</v>
      </c>
      <c r="B211" s="6" t="str">
        <f>HYPERLINK("[#]Feature_Schema_1!A29844:F29844","FORD_S")</f>
        <v>FORD_S</v>
      </c>
      <c r="F211" t="s">
        <v>89</v>
      </c>
      <c r="G211" t="s">
        <v>89</v>
      </c>
      <c r="H211">
        <v>100302</v>
      </c>
      <c r="I211" t="s">
        <v>422</v>
      </c>
    </row>
    <row r="212" spans="1:9" x14ac:dyDescent="0.2">
      <c r="A212" t="s">
        <v>423</v>
      </c>
      <c r="B212" s="6" t="str">
        <f>HYPERLINK("[#]Feature_Schema_1!A29985:F29985","FORESHORE_S")</f>
        <v>FORESHORE_S</v>
      </c>
      <c r="C212" t="s">
        <v>121</v>
      </c>
      <c r="D212" t="s">
        <v>121</v>
      </c>
      <c r="E212" t="s">
        <v>121</v>
      </c>
      <c r="F212" t="s">
        <v>121</v>
      </c>
      <c r="G212" t="s">
        <v>121</v>
      </c>
      <c r="H212">
        <v>100215</v>
      </c>
      <c r="I212" t="s">
        <v>424</v>
      </c>
    </row>
    <row r="213" spans="1:9" x14ac:dyDescent="0.2">
      <c r="A213" t="s">
        <v>425</v>
      </c>
      <c r="B213" s="6" t="str">
        <f>HYPERLINK("[#]Feature_Schema_1!A30308:F30308","FOREST_C")</f>
        <v>FOREST_C</v>
      </c>
      <c r="D213" t="s">
        <v>236</v>
      </c>
      <c r="E213" t="s">
        <v>236</v>
      </c>
      <c r="F213" t="s">
        <v>236</v>
      </c>
      <c r="G213" t="s">
        <v>236</v>
      </c>
      <c r="H213">
        <v>130380</v>
      </c>
      <c r="I213" t="s">
        <v>426</v>
      </c>
    </row>
    <row r="214" spans="1:9" x14ac:dyDescent="0.2">
      <c r="A214" t="s">
        <v>427</v>
      </c>
      <c r="B214" s="6" t="str">
        <f>HYPERLINK("[#]Feature_Schema_1!A30388:F30388","FOREST_CLEARING_S")</f>
        <v>FOREST_CLEARING_S</v>
      </c>
      <c r="C214" t="s">
        <v>135</v>
      </c>
      <c r="D214" t="s">
        <v>135</v>
      </c>
      <c r="E214" t="s">
        <v>135</v>
      </c>
      <c r="F214" t="s">
        <v>135</v>
      </c>
      <c r="G214" t="s">
        <v>135</v>
      </c>
      <c r="H214">
        <v>100398</v>
      </c>
      <c r="I214" t="s">
        <v>428</v>
      </c>
    </row>
    <row r="215" spans="1:9" x14ac:dyDescent="0.2">
      <c r="A215" t="s">
        <v>425</v>
      </c>
      <c r="B215" s="6" t="str">
        <f>HYPERLINK("[#]Feature_Schema_1!A30427:F30427","FOREST_S")</f>
        <v>FOREST_S</v>
      </c>
      <c r="C215" t="s">
        <v>135</v>
      </c>
      <c r="D215" t="s">
        <v>135</v>
      </c>
      <c r="E215" t="s">
        <v>135</v>
      </c>
      <c r="F215" t="s">
        <v>135</v>
      </c>
      <c r="G215" t="s">
        <v>135</v>
      </c>
      <c r="H215">
        <v>130380</v>
      </c>
      <c r="I215" t="s">
        <v>429</v>
      </c>
    </row>
    <row r="216" spans="1:9" x14ac:dyDescent="0.2">
      <c r="A216" t="s">
        <v>430</v>
      </c>
      <c r="B216" s="6" t="str">
        <f>HYPERLINK("[#]Feature_Schema_1!A30507:F30507","FORTIFIED_BUILDING_P")</f>
        <v>FORTIFIED_BUILDING_P</v>
      </c>
      <c r="C216" t="s">
        <v>208</v>
      </c>
      <c r="D216" t="s">
        <v>208</v>
      </c>
      <c r="E216" t="s">
        <v>208</v>
      </c>
      <c r="F216" t="s">
        <v>208</v>
      </c>
      <c r="G216" t="s">
        <v>208</v>
      </c>
      <c r="H216">
        <v>132626</v>
      </c>
      <c r="I216" t="s">
        <v>431</v>
      </c>
    </row>
    <row r="217" spans="1:9" x14ac:dyDescent="0.2">
      <c r="A217" t="s">
        <v>430</v>
      </c>
      <c r="B217" s="6" t="str">
        <f>HYPERLINK("[#]Feature_Schema_1!A32150:F32150","FORTIFIED_BUILDING_S")</f>
        <v>FORTIFIED_BUILDING_S</v>
      </c>
      <c r="C217" t="s">
        <v>201</v>
      </c>
      <c r="D217" t="s">
        <v>201</v>
      </c>
      <c r="E217" t="s">
        <v>201</v>
      </c>
      <c r="F217" t="s">
        <v>201</v>
      </c>
      <c r="G217" t="s">
        <v>201</v>
      </c>
      <c r="H217">
        <v>132626</v>
      </c>
      <c r="I217" t="s">
        <v>432</v>
      </c>
    </row>
    <row r="218" spans="1:9" x14ac:dyDescent="0.2">
      <c r="A218" t="s">
        <v>433</v>
      </c>
      <c r="B218" s="6" t="str">
        <f>HYPERLINK("[#]Feature_Schema_1!A33793:F33793","FOUL_GROUND_P")</f>
        <v>FOUL_GROUND_P</v>
      </c>
      <c r="E218" t="s">
        <v>71</v>
      </c>
      <c r="F218" t="s">
        <v>71</v>
      </c>
      <c r="G218" t="s">
        <v>71</v>
      </c>
      <c r="H218">
        <v>100266</v>
      </c>
      <c r="I218" t="s">
        <v>434</v>
      </c>
    </row>
    <row r="219" spans="1:9" x14ac:dyDescent="0.2">
      <c r="A219" t="s">
        <v>433</v>
      </c>
      <c r="B219" s="6" t="str">
        <f>HYPERLINK("[#]Feature_Schema_1!A33832:F33832","FOUL_GROUND_S")</f>
        <v>FOUL_GROUND_S</v>
      </c>
      <c r="E219" t="s">
        <v>73</v>
      </c>
      <c r="F219" t="s">
        <v>73</v>
      </c>
      <c r="G219" t="s">
        <v>73</v>
      </c>
      <c r="H219">
        <v>100266</v>
      </c>
      <c r="I219" t="s">
        <v>435</v>
      </c>
    </row>
    <row r="220" spans="1:9" x14ac:dyDescent="0.2">
      <c r="A220" t="s">
        <v>436</v>
      </c>
      <c r="B220" s="6" t="str">
        <f>HYPERLINK("[#]Feature_Schema_1!A33871:F33871","FOUNTAIN_P")</f>
        <v>FOUNTAIN_P</v>
      </c>
      <c r="E220" t="s">
        <v>92</v>
      </c>
      <c r="F220" t="s">
        <v>92</v>
      </c>
      <c r="G220" t="s">
        <v>92</v>
      </c>
      <c r="H220">
        <v>100303</v>
      </c>
      <c r="I220" t="s">
        <v>437</v>
      </c>
    </row>
    <row r="221" spans="1:9" x14ac:dyDescent="0.2">
      <c r="A221" t="s">
        <v>436</v>
      </c>
      <c r="B221" s="6" t="str">
        <f>HYPERLINK("[#]Feature_Schema_1!A34026:F34026","FOUNTAIN_S")</f>
        <v>FOUNTAIN_S</v>
      </c>
      <c r="F221" t="s">
        <v>94</v>
      </c>
      <c r="G221" t="s">
        <v>94</v>
      </c>
      <c r="H221">
        <v>100303</v>
      </c>
      <c r="I221" t="s">
        <v>438</v>
      </c>
    </row>
    <row r="222" spans="1:9" x14ac:dyDescent="0.2">
      <c r="A222" t="s">
        <v>439</v>
      </c>
      <c r="B222" s="6" t="str">
        <f>HYPERLINK("[#]Feature_Schema_1!A34181:F34181","FUEL_STORAGE_FACILITY_P")</f>
        <v>FUEL_STORAGE_FACILITY_P</v>
      </c>
      <c r="C222" t="s">
        <v>440</v>
      </c>
      <c r="D222" t="s">
        <v>440</v>
      </c>
      <c r="E222" t="s">
        <v>440</v>
      </c>
      <c r="F222" t="s">
        <v>440</v>
      </c>
      <c r="G222" t="s">
        <v>440</v>
      </c>
      <c r="H222">
        <v>100141</v>
      </c>
      <c r="I222" t="s">
        <v>441</v>
      </c>
    </row>
    <row r="223" spans="1:9" x14ac:dyDescent="0.2">
      <c r="A223" t="s">
        <v>439</v>
      </c>
      <c r="B223" s="6" t="str">
        <f>HYPERLINK("[#]Feature_Schema_1!A34301:F34301","FUEL_STORAGE_FACILITY_S")</f>
        <v>FUEL_STORAGE_FACILITY_S</v>
      </c>
      <c r="C223" t="s">
        <v>442</v>
      </c>
      <c r="D223" t="s">
        <v>442</v>
      </c>
      <c r="E223" t="s">
        <v>442</v>
      </c>
      <c r="F223" t="s">
        <v>442</v>
      </c>
      <c r="G223" t="s">
        <v>442</v>
      </c>
      <c r="H223">
        <v>100141</v>
      </c>
      <c r="I223" t="s">
        <v>443</v>
      </c>
    </row>
    <row r="224" spans="1:9" x14ac:dyDescent="0.2">
      <c r="A224" t="s">
        <v>444</v>
      </c>
      <c r="B224" s="6" t="str">
        <f>HYPERLINK("[#]Feature_Schema_1!A34421:F34421","GANTRY_C")</f>
        <v>GANTRY_C</v>
      </c>
      <c r="F224" t="s">
        <v>171</v>
      </c>
      <c r="G224" t="s">
        <v>171</v>
      </c>
      <c r="H224">
        <v>100101</v>
      </c>
      <c r="I224" t="s">
        <v>445</v>
      </c>
    </row>
    <row r="225" spans="1:9" x14ac:dyDescent="0.2">
      <c r="A225" t="s">
        <v>444</v>
      </c>
      <c r="B225" s="6" t="str">
        <f>HYPERLINK("[#]Feature_Schema_1!A34540:F34540","GANTRY_P")</f>
        <v>GANTRY_P</v>
      </c>
      <c r="C225" t="s">
        <v>100</v>
      </c>
      <c r="D225" t="s">
        <v>100</v>
      </c>
      <c r="E225" t="s">
        <v>100</v>
      </c>
      <c r="F225" t="s">
        <v>100</v>
      </c>
      <c r="G225" t="s">
        <v>100</v>
      </c>
      <c r="H225">
        <v>100101</v>
      </c>
      <c r="I225" t="s">
        <v>446</v>
      </c>
    </row>
    <row r="226" spans="1:9" x14ac:dyDescent="0.2">
      <c r="A226" t="s">
        <v>447</v>
      </c>
      <c r="B226" s="6" t="str">
        <f>HYPERLINK("[#]Feature_Schema_1!A34659:F34659","GATE_C")</f>
        <v>GATE_C</v>
      </c>
      <c r="E226" t="s">
        <v>87</v>
      </c>
      <c r="F226" t="s">
        <v>87</v>
      </c>
      <c r="G226" t="s">
        <v>87</v>
      </c>
      <c r="H226">
        <v>100154</v>
      </c>
      <c r="I226" t="s">
        <v>448</v>
      </c>
    </row>
    <row r="227" spans="1:9" x14ac:dyDescent="0.2">
      <c r="A227" t="s">
        <v>447</v>
      </c>
      <c r="B227" s="6" t="str">
        <f>HYPERLINK("[#]Feature_Schema_1!A34783:F34783","GATE_P")</f>
        <v>GATE_P</v>
      </c>
      <c r="C227" t="s">
        <v>149</v>
      </c>
      <c r="D227" t="s">
        <v>149</v>
      </c>
      <c r="E227" t="s">
        <v>149</v>
      </c>
      <c r="F227" t="s">
        <v>149</v>
      </c>
      <c r="G227" t="s">
        <v>149</v>
      </c>
      <c r="H227">
        <v>100154</v>
      </c>
      <c r="I227" t="s">
        <v>449</v>
      </c>
    </row>
    <row r="228" spans="1:9" x14ac:dyDescent="0.2">
      <c r="A228" t="s">
        <v>450</v>
      </c>
      <c r="B228" s="6" t="str">
        <f>HYPERLINK("[#]Feature_Schema_1!A34907:F34907","GAUGING_STATION_P")</f>
        <v>GAUGING_STATION_P</v>
      </c>
      <c r="D228" t="s">
        <v>233</v>
      </c>
      <c r="E228" t="s">
        <v>233</v>
      </c>
      <c r="F228" t="s">
        <v>233</v>
      </c>
      <c r="G228" t="s">
        <v>233</v>
      </c>
      <c r="H228">
        <v>100339</v>
      </c>
      <c r="I228" t="s">
        <v>451</v>
      </c>
    </row>
    <row r="229" spans="1:9" x14ac:dyDescent="0.2">
      <c r="A229" t="s">
        <v>452</v>
      </c>
      <c r="B229" s="6" t="str">
        <f>HYPERLINK("[#]Feature_Schema_1!A35013:F35013","GEODETIC_POINT_P")</f>
        <v>GEODETIC_POINT_P</v>
      </c>
      <c r="E229" t="s">
        <v>124</v>
      </c>
      <c r="F229" t="s">
        <v>124</v>
      </c>
      <c r="G229" t="s">
        <v>124</v>
      </c>
      <c r="H229">
        <v>100468</v>
      </c>
      <c r="I229" t="s">
        <v>453</v>
      </c>
    </row>
    <row r="230" spans="1:9" x14ac:dyDescent="0.2">
      <c r="A230" t="s">
        <v>454</v>
      </c>
      <c r="B230" s="6" t="str">
        <f>HYPERLINK("[#]Feature_Schema_1!A35054:F35054","GEOLOGIC_FAULT_C")</f>
        <v>GEOLOGIC_FAULT_C</v>
      </c>
      <c r="C230" t="s">
        <v>269</v>
      </c>
      <c r="D230" t="s">
        <v>269</v>
      </c>
      <c r="E230" t="s">
        <v>269</v>
      </c>
      <c r="F230" t="s">
        <v>269</v>
      </c>
      <c r="G230" t="s">
        <v>269</v>
      </c>
      <c r="H230">
        <v>100370</v>
      </c>
      <c r="I230" t="s">
        <v>455</v>
      </c>
    </row>
    <row r="231" spans="1:9" x14ac:dyDescent="0.2">
      <c r="A231" t="s">
        <v>456</v>
      </c>
      <c r="B231" s="6" t="str">
        <f>HYPERLINK("[#]Feature_Schema_1!A35111:F35111","GEOPOLITICAL_ENTITY_S")</f>
        <v>GEOPOLITICAL_ENTITY_S</v>
      </c>
      <c r="C231" t="s">
        <v>14</v>
      </c>
      <c r="D231" t="s">
        <v>14</v>
      </c>
      <c r="E231" t="s">
        <v>14</v>
      </c>
      <c r="F231" t="s">
        <v>14</v>
      </c>
      <c r="G231" t="s">
        <v>14</v>
      </c>
      <c r="H231">
        <v>100406</v>
      </c>
      <c r="I231" t="s">
        <v>457</v>
      </c>
    </row>
    <row r="232" spans="1:9" x14ac:dyDescent="0.2">
      <c r="A232" t="s">
        <v>458</v>
      </c>
      <c r="B232" s="6" t="str">
        <f>HYPERLINK("[#]Feature_Schema_1!A35162:F35162","GEOTHERMAL_OUTLET_P")</f>
        <v>GEOTHERMAL_OUTLET_P</v>
      </c>
      <c r="C232" t="s">
        <v>223</v>
      </c>
      <c r="D232" t="s">
        <v>223</v>
      </c>
      <c r="E232" t="s">
        <v>223</v>
      </c>
      <c r="F232" t="s">
        <v>223</v>
      </c>
      <c r="G232" t="s">
        <v>223</v>
      </c>
      <c r="H232">
        <v>100371</v>
      </c>
      <c r="I232" t="s">
        <v>459</v>
      </c>
    </row>
    <row r="233" spans="1:9" x14ac:dyDescent="0.2">
      <c r="A233" t="s">
        <v>458</v>
      </c>
      <c r="B233" s="6" t="str">
        <f>HYPERLINK("[#]Feature_Schema_1!A35325:F35325","GEOTHERMAL_OUTLET_S")</f>
        <v>GEOTHERMAL_OUTLET_S</v>
      </c>
      <c r="E233" t="s">
        <v>97</v>
      </c>
      <c r="F233" t="s">
        <v>97</v>
      </c>
      <c r="G233" t="s">
        <v>97</v>
      </c>
      <c r="H233">
        <v>100371</v>
      </c>
      <c r="I233" t="s">
        <v>460</v>
      </c>
    </row>
    <row r="234" spans="1:9" x14ac:dyDescent="0.2">
      <c r="A234" t="s">
        <v>461</v>
      </c>
      <c r="B234" s="6" t="str">
        <f>HYPERLINK("[#]Feature_Schema_1!A35488:F35488","GLACIER_S")</f>
        <v>GLACIER_S</v>
      </c>
      <c r="C234" t="s">
        <v>97</v>
      </c>
      <c r="D234" t="s">
        <v>97</v>
      </c>
      <c r="E234" t="s">
        <v>97</v>
      </c>
      <c r="F234" t="s">
        <v>97</v>
      </c>
      <c r="G234" t="s">
        <v>97</v>
      </c>
      <c r="H234">
        <v>100341</v>
      </c>
      <c r="I234" t="s">
        <v>462</v>
      </c>
    </row>
    <row r="235" spans="1:9" x14ac:dyDescent="0.2">
      <c r="A235" t="s">
        <v>463</v>
      </c>
      <c r="B235" s="6" t="str">
        <f>HYPERLINK("[#]Feature_Schema_1!A35526:F35526","GOLF_COURSE_S")</f>
        <v>GOLF_COURSE_S</v>
      </c>
      <c r="C235" t="s">
        <v>39</v>
      </c>
      <c r="D235" t="s">
        <v>39</v>
      </c>
      <c r="E235" t="s">
        <v>39</v>
      </c>
      <c r="F235" t="s">
        <v>39</v>
      </c>
      <c r="G235" t="s">
        <v>39</v>
      </c>
      <c r="H235">
        <v>100062</v>
      </c>
      <c r="I235" t="s">
        <v>464</v>
      </c>
    </row>
    <row r="236" spans="1:9" x14ac:dyDescent="0.2">
      <c r="A236" t="s">
        <v>465</v>
      </c>
      <c r="B236" s="6" t="str">
        <f>HYPERLINK("[#]Feature_Schema_1!A35591:F35591","GOLF_DRIVING_RANGE_S")</f>
        <v>GOLF_DRIVING_RANGE_S</v>
      </c>
      <c r="E236" t="s">
        <v>39</v>
      </c>
      <c r="F236" t="s">
        <v>39</v>
      </c>
      <c r="G236" t="s">
        <v>39</v>
      </c>
      <c r="H236">
        <v>100063</v>
      </c>
      <c r="I236" t="s">
        <v>466</v>
      </c>
    </row>
    <row r="237" spans="1:9" x14ac:dyDescent="0.2">
      <c r="A237" t="s">
        <v>467</v>
      </c>
      <c r="B237" s="6" t="str">
        <f>HYPERLINK("[#]Feature_Schema_1!A35647:F35647","GRAIN_ELEVATOR_P")</f>
        <v>GRAIN_ELEVATOR_P</v>
      </c>
      <c r="C237" t="s">
        <v>440</v>
      </c>
      <c r="D237" t="s">
        <v>440</v>
      </c>
      <c r="E237" t="s">
        <v>440</v>
      </c>
      <c r="F237" t="s">
        <v>440</v>
      </c>
      <c r="G237" t="s">
        <v>440</v>
      </c>
      <c r="H237">
        <v>100134</v>
      </c>
      <c r="I237" t="s">
        <v>468</v>
      </c>
    </row>
    <row r="238" spans="1:9" x14ac:dyDescent="0.2">
      <c r="A238" t="s">
        <v>467</v>
      </c>
      <c r="B238" s="6" t="str">
        <f>HYPERLINK("[#]Feature_Schema_1!A35780:F35780","GRAIN_ELEVATOR_S")</f>
        <v>GRAIN_ELEVATOR_S</v>
      </c>
      <c r="E238" t="s">
        <v>442</v>
      </c>
      <c r="F238" t="s">
        <v>442</v>
      </c>
      <c r="G238" t="s">
        <v>442</v>
      </c>
      <c r="H238">
        <v>100134</v>
      </c>
      <c r="I238" t="s">
        <v>469</v>
      </c>
    </row>
    <row r="239" spans="1:9" x14ac:dyDescent="0.2">
      <c r="A239" t="s">
        <v>470</v>
      </c>
      <c r="B239" s="6" t="str">
        <f>HYPERLINK("[#]Feature_Schema_1!A35913:F35913","GRAIN_STORAGE_STRUCTURE_P")</f>
        <v>GRAIN_STORAGE_STRUCTURE_P</v>
      </c>
      <c r="C239" t="s">
        <v>105</v>
      </c>
      <c r="D239" t="s">
        <v>105</v>
      </c>
      <c r="E239" t="s">
        <v>105</v>
      </c>
      <c r="F239" t="s">
        <v>105</v>
      </c>
      <c r="G239" t="s">
        <v>105</v>
      </c>
      <c r="H239">
        <v>100133</v>
      </c>
      <c r="I239" t="s">
        <v>471</v>
      </c>
    </row>
    <row r="240" spans="1:9" x14ac:dyDescent="0.2">
      <c r="A240" t="s">
        <v>470</v>
      </c>
      <c r="B240" s="6" t="str">
        <f>HYPERLINK("[#]Feature_Schema_1!A36047:F36047","GRAIN_STORAGE_STRUCTURE_S")</f>
        <v>GRAIN_STORAGE_STRUCTURE_S</v>
      </c>
      <c r="E240" t="s">
        <v>107</v>
      </c>
      <c r="F240" t="s">
        <v>107</v>
      </c>
      <c r="G240" t="s">
        <v>107</v>
      </c>
      <c r="H240">
        <v>100133</v>
      </c>
      <c r="I240" t="s">
        <v>472</v>
      </c>
    </row>
    <row r="241" spans="1:9" x14ac:dyDescent="0.2">
      <c r="A241" t="s">
        <v>473</v>
      </c>
      <c r="B241" s="6" t="str">
        <f>HYPERLINK("[#]Feature_Schema_1!A36181:F36181","GRANDSTAND_P")</f>
        <v>GRANDSTAND_P</v>
      </c>
      <c r="C241" t="s">
        <v>37</v>
      </c>
      <c r="D241" t="s">
        <v>37</v>
      </c>
      <c r="E241" t="s">
        <v>37</v>
      </c>
      <c r="F241" t="s">
        <v>37</v>
      </c>
      <c r="G241" t="s">
        <v>37</v>
      </c>
      <c r="H241">
        <v>100064</v>
      </c>
      <c r="I241" t="s">
        <v>474</v>
      </c>
    </row>
    <row r="242" spans="1:9" x14ac:dyDescent="0.2">
      <c r="A242" t="s">
        <v>473</v>
      </c>
      <c r="B242" s="6" t="str">
        <f>HYPERLINK("[#]Feature_Schema_1!A36250:F36250","GRANDSTAND_S")</f>
        <v>GRANDSTAND_S</v>
      </c>
      <c r="E242" t="s">
        <v>39</v>
      </c>
      <c r="F242" t="s">
        <v>39</v>
      </c>
      <c r="G242" t="s">
        <v>39</v>
      </c>
      <c r="H242">
        <v>100064</v>
      </c>
      <c r="I242" t="s">
        <v>475</v>
      </c>
    </row>
    <row r="243" spans="1:9" x14ac:dyDescent="0.2">
      <c r="A243" t="s">
        <v>476</v>
      </c>
      <c r="B243" s="6" t="str">
        <f>HYPERLINK("[#]Feature_Schema_1!A36319:F36319","GRASSLAND_S")</f>
        <v>GRASSLAND_S</v>
      </c>
      <c r="C243" t="s">
        <v>135</v>
      </c>
      <c r="D243" t="s">
        <v>135</v>
      </c>
      <c r="E243" t="s">
        <v>135</v>
      </c>
      <c r="F243" t="s">
        <v>135</v>
      </c>
      <c r="G243" t="s">
        <v>135</v>
      </c>
      <c r="H243">
        <v>100387</v>
      </c>
      <c r="I243" t="s">
        <v>477</v>
      </c>
    </row>
    <row r="244" spans="1:9" x14ac:dyDescent="0.2">
      <c r="A244" t="s">
        <v>478</v>
      </c>
      <c r="B244" s="6" t="str">
        <f>HYPERLINK("[#]Feature_Schema_1!A36382:F36382","GREENHOUSE_P")</f>
        <v>GREENHOUSE_P</v>
      </c>
      <c r="C244" t="s">
        <v>105</v>
      </c>
      <c r="D244" t="s">
        <v>105</v>
      </c>
      <c r="E244" t="s">
        <v>105</v>
      </c>
      <c r="F244" t="s">
        <v>105</v>
      </c>
      <c r="G244" t="s">
        <v>105</v>
      </c>
      <c r="H244">
        <v>100052</v>
      </c>
      <c r="I244" t="s">
        <v>479</v>
      </c>
    </row>
    <row r="245" spans="1:9" x14ac:dyDescent="0.2">
      <c r="A245" t="s">
        <v>478</v>
      </c>
      <c r="B245" s="6" t="str">
        <f>HYPERLINK("[#]Feature_Schema_1!A36514:F36514","GREENHOUSE_S")</f>
        <v>GREENHOUSE_S</v>
      </c>
      <c r="C245" t="s">
        <v>107</v>
      </c>
      <c r="D245" t="s">
        <v>107</v>
      </c>
      <c r="E245" t="s">
        <v>107</v>
      </c>
      <c r="F245" t="s">
        <v>107</v>
      </c>
      <c r="G245" t="s">
        <v>107</v>
      </c>
      <c r="H245">
        <v>100052</v>
      </c>
      <c r="I245" t="s">
        <v>480</v>
      </c>
    </row>
    <row r="246" spans="1:9" x14ac:dyDescent="0.2">
      <c r="A246" t="s">
        <v>481</v>
      </c>
      <c r="B246" s="6" t="str">
        <f>HYPERLINK("[#]Feature_Schema_1!A36646:F36646","GROVE_P")</f>
        <v>GROVE_P</v>
      </c>
      <c r="E246" t="s">
        <v>482</v>
      </c>
      <c r="F246" t="s">
        <v>482</v>
      </c>
      <c r="G246" t="s">
        <v>482</v>
      </c>
      <c r="H246">
        <v>100397</v>
      </c>
      <c r="I246" t="s">
        <v>483</v>
      </c>
    </row>
    <row r="247" spans="1:9" x14ac:dyDescent="0.2">
      <c r="A247" t="s">
        <v>481</v>
      </c>
      <c r="B247" s="6" t="str">
        <f>HYPERLINK("[#]Feature_Schema_1!A36748:F36748","GROVE_S")</f>
        <v>GROVE_S</v>
      </c>
      <c r="E247" t="s">
        <v>484</v>
      </c>
      <c r="F247" t="s">
        <v>484</v>
      </c>
      <c r="G247" t="s">
        <v>484</v>
      </c>
      <c r="H247">
        <v>100397</v>
      </c>
      <c r="I247" t="s">
        <v>485</v>
      </c>
    </row>
    <row r="248" spans="1:9" x14ac:dyDescent="0.2">
      <c r="A248" t="s">
        <v>486</v>
      </c>
      <c r="B248" s="6" t="str">
        <f>HYPERLINK("[#]Feature_Schema_1!A36850:F36850","HARBOUR_S")</f>
        <v>HARBOUR_S</v>
      </c>
      <c r="D248" t="s">
        <v>346</v>
      </c>
      <c r="E248" t="s">
        <v>346</v>
      </c>
      <c r="F248" t="s">
        <v>346</v>
      </c>
      <c r="G248" t="s">
        <v>346</v>
      </c>
      <c r="H248">
        <v>100222</v>
      </c>
      <c r="I248" t="s">
        <v>487</v>
      </c>
    </row>
    <row r="249" spans="1:9" x14ac:dyDescent="0.2">
      <c r="A249" t="s">
        <v>488</v>
      </c>
      <c r="B249" s="6" t="str">
        <f>HYPERLINK("[#]Feature_Schema_1!A36963:F36963","HARBOUR_WATERS_S")</f>
        <v>HARBOUR_WATERS_S</v>
      </c>
      <c r="D249" t="s">
        <v>73</v>
      </c>
      <c r="E249" t="s">
        <v>73</v>
      </c>
      <c r="F249" t="s">
        <v>73</v>
      </c>
      <c r="G249" t="s">
        <v>73</v>
      </c>
      <c r="H249">
        <v>103</v>
      </c>
      <c r="I249" t="s">
        <v>489</v>
      </c>
    </row>
    <row r="250" spans="1:9" x14ac:dyDescent="0.2">
      <c r="A250" t="s">
        <v>490</v>
      </c>
      <c r="B250" s="6" t="str">
        <f>HYPERLINK("[#]Feature_Schema_1!A37036:F37036","HARDENED_AIRCRAFT_SHELTER_P")</f>
        <v>HARDENED_AIRCRAFT_SHELTER_P</v>
      </c>
      <c r="C250" t="s">
        <v>32</v>
      </c>
      <c r="D250" t="s">
        <v>32</v>
      </c>
      <c r="E250" t="s">
        <v>32</v>
      </c>
      <c r="G250" t="s">
        <v>32</v>
      </c>
      <c r="H250">
        <v>100457</v>
      </c>
      <c r="I250" t="s">
        <v>491</v>
      </c>
    </row>
    <row r="251" spans="1:9" x14ac:dyDescent="0.2">
      <c r="A251" t="s">
        <v>490</v>
      </c>
      <c r="B251" s="6" t="str">
        <f>HYPERLINK("[#]Feature_Schema_1!A37201:F37201","HARDENED_AIRCRAFT_SHELTER_S")</f>
        <v>HARDENED_AIRCRAFT_SHELTER_S</v>
      </c>
      <c r="C251" t="s">
        <v>34</v>
      </c>
      <c r="D251" t="s">
        <v>34</v>
      </c>
      <c r="E251" t="s">
        <v>34</v>
      </c>
      <c r="F251" t="s">
        <v>34</v>
      </c>
      <c r="G251" t="s">
        <v>34</v>
      </c>
      <c r="H251">
        <v>100457</v>
      </c>
      <c r="I251" t="s">
        <v>492</v>
      </c>
    </row>
    <row r="252" spans="1:9" x14ac:dyDescent="0.2">
      <c r="A252" t="s">
        <v>493</v>
      </c>
      <c r="B252" s="6" t="str">
        <f>HYPERLINK("[#]Feature_Schema_1!A37366:F37366","HAZARDOUS_ROCK_P")</f>
        <v>HAZARDOUS_ROCK_P</v>
      </c>
      <c r="C252" t="s">
        <v>71</v>
      </c>
      <c r="D252" t="s">
        <v>71</v>
      </c>
      <c r="E252" t="s">
        <v>71</v>
      </c>
      <c r="F252" t="s">
        <v>71</v>
      </c>
      <c r="G252" t="s">
        <v>71</v>
      </c>
      <c r="H252">
        <v>100276</v>
      </c>
      <c r="I252" t="s">
        <v>494</v>
      </c>
    </row>
    <row r="253" spans="1:9" x14ac:dyDescent="0.2">
      <c r="A253" t="s">
        <v>495</v>
      </c>
      <c r="B253" s="6" t="str">
        <f>HYPERLINK("[#]Feature_Schema_1!A37492:F37492","HEATING_FACILITY_P")</f>
        <v>HEATING_FACILITY_P</v>
      </c>
      <c r="C253" t="s">
        <v>20</v>
      </c>
      <c r="D253" t="s">
        <v>20</v>
      </c>
      <c r="E253" t="s">
        <v>20</v>
      </c>
      <c r="F253" t="s">
        <v>20</v>
      </c>
      <c r="G253" t="s">
        <v>20</v>
      </c>
      <c r="H253">
        <v>100023</v>
      </c>
      <c r="I253" t="s">
        <v>496</v>
      </c>
    </row>
    <row r="254" spans="1:9" x14ac:dyDescent="0.2">
      <c r="A254" t="s">
        <v>495</v>
      </c>
      <c r="B254" s="6" t="str">
        <f>HYPERLINK("[#]Feature_Schema_1!A37616:F37616","HEATING_FACILITY_S")</f>
        <v>HEATING_FACILITY_S</v>
      </c>
      <c r="C254" t="s">
        <v>22</v>
      </c>
      <c r="D254" t="s">
        <v>22</v>
      </c>
      <c r="E254" t="s">
        <v>22</v>
      </c>
      <c r="F254" t="s">
        <v>22</v>
      </c>
      <c r="G254" t="s">
        <v>22</v>
      </c>
      <c r="H254">
        <v>100023</v>
      </c>
      <c r="I254" t="s">
        <v>497</v>
      </c>
    </row>
    <row r="255" spans="1:9" x14ac:dyDescent="0.2">
      <c r="A255" t="s">
        <v>498</v>
      </c>
      <c r="B255" s="6" t="str">
        <f>HYPERLINK("[#]Feature_Schema_1!A37740:F37740","HEDGEROW_C")</f>
        <v>HEDGEROW_C</v>
      </c>
      <c r="E255" t="s">
        <v>236</v>
      </c>
      <c r="F255" t="s">
        <v>236</v>
      </c>
      <c r="G255" t="s">
        <v>236</v>
      </c>
      <c r="H255">
        <v>100381</v>
      </c>
      <c r="I255" t="s">
        <v>499</v>
      </c>
    </row>
    <row r="256" spans="1:9" x14ac:dyDescent="0.2">
      <c r="A256" t="s">
        <v>500</v>
      </c>
      <c r="B256" s="6" t="str">
        <f>HYPERLINK("[#]Feature_Schema_1!A37778:F37778","HELIPAD_P")</f>
        <v>HELIPAD_P</v>
      </c>
      <c r="C256" t="s">
        <v>32</v>
      </c>
      <c r="D256" t="s">
        <v>32</v>
      </c>
      <c r="E256" t="s">
        <v>32</v>
      </c>
      <c r="F256" t="s">
        <v>32</v>
      </c>
      <c r="G256" t="s">
        <v>32</v>
      </c>
      <c r="H256">
        <v>100441</v>
      </c>
      <c r="I256" t="s">
        <v>501</v>
      </c>
    </row>
    <row r="257" spans="1:9" x14ac:dyDescent="0.2">
      <c r="A257" t="s">
        <v>500</v>
      </c>
      <c r="B257" s="6" t="str">
        <f>HYPERLINK("[#]Feature_Schema_1!A37979:F37979","HELIPAD_S")</f>
        <v>HELIPAD_S</v>
      </c>
      <c r="E257" t="s">
        <v>34</v>
      </c>
      <c r="F257" t="s">
        <v>34</v>
      </c>
      <c r="G257" t="s">
        <v>34</v>
      </c>
      <c r="H257">
        <v>100441</v>
      </c>
      <c r="I257" t="s">
        <v>502</v>
      </c>
    </row>
    <row r="258" spans="1:9" x14ac:dyDescent="0.2">
      <c r="A258" t="s">
        <v>503</v>
      </c>
      <c r="B258" s="6" t="str">
        <f>HYPERLINK("[#]Feature_Schema_1!A38180:F38180","HELIPORT_P")</f>
        <v>HELIPORT_P</v>
      </c>
      <c r="C258" t="s">
        <v>32</v>
      </c>
      <c r="D258" t="s">
        <v>32</v>
      </c>
      <c r="E258" t="s">
        <v>32</v>
      </c>
      <c r="F258" t="s">
        <v>32</v>
      </c>
      <c r="G258" t="s">
        <v>32</v>
      </c>
      <c r="H258">
        <v>100442</v>
      </c>
      <c r="I258" t="s">
        <v>504</v>
      </c>
    </row>
    <row r="259" spans="1:9" x14ac:dyDescent="0.2">
      <c r="A259" t="s">
        <v>503</v>
      </c>
      <c r="B259" s="6" t="str">
        <f>HYPERLINK("[#]Feature_Schema_1!A38264:F38264","HELIPORT_S")</f>
        <v>HELIPORT_S</v>
      </c>
      <c r="C259" t="s">
        <v>34</v>
      </c>
      <c r="D259" t="s">
        <v>34</v>
      </c>
      <c r="E259" t="s">
        <v>34</v>
      </c>
      <c r="F259" t="s">
        <v>34</v>
      </c>
      <c r="G259" t="s">
        <v>34</v>
      </c>
      <c r="H259">
        <v>100442</v>
      </c>
      <c r="I259" t="s">
        <v>505</v>
      </c>
    </row>
    <row r="260" spans="1:9" x14ac:dyDescent="0.2">
      <c r="A260" t="s">
        <v>506</v>
      </c>
      <c r="B260" s="6" t="str">
        <f>HYPERLINK("[#]Feature_Schema_1!A38348:F38348","HOLDING_PEN_P")</f>
        <v>HOLDING_PEN_P</v>
      </c>
      <c r="D260" t="s">
        <v>105</v>
      </c>
      <c r="E260" t="s">
        <v>105</v>
      </c>
      <c r="F260" t="s">
        <v>105</v>
      </c>
      <c r="G260" t="s">
        <v>105</v>
      </c>
      <c r="H260">
        <v>100043</v>
      </c>
      <c r="I260" t="s">
        <v>507</v>
      </c>
    </row>
    <row r="261" spans="1:9" x14ac:dyDescent="0.2">
      <c r="A261" t="s">
        <v>506</v>
      </c>
      <c r="B261" s="6" t="str">
        <f>HYPERLINK("[#]Feature_Schema_1!A38406:F38406","HOLDING_PEN_S")</f>
        <v>HOLDING_PEN_S</v>
      </c>
      <c r="E261" t="s">
        <v>107</v>
      </c>
      <c r="F261" t="s">
        <v>107</v>
      </c>
      <c r="G261" t="s">
        <v>107</v>
      </c>
      <c r="H261">
        <v>100043</v>
      </c>
      <c r="I261" t="s">
        <v>508</v>
      </c>
    </row>
    <row r="262" spans="1:9" x14ac:dyDescent="0.2">
      <c r="A262" t="s">
        <v>509</v>
      </c>
      <c r="B262" s="6" t="str">
        <f>HYPERLINK("[#]Feature_Schema_1!A38464:F38464","HOP_FIELD_S")</f>
        <v>HOP_FIELD_S</v>
      </c>
      <c r="C262" t="s">
        <v>107</v>
      </c>
      <c r="D262" t="s">
        <v>107</v>
      </c>
      <c r="E262" t="s">
        <v>107</v>
      </c>
      <c r="F262" t="s">
        <v>107</v>
      </c>
      <c r="G262" t="s">
        <v>107</v>
      </c>
      <c r="H262">
        <v>100386</v>
      </c>
      <c r="I262" t="s">
        <v>510</v>
      </c>
    </row>
    <row r="263" spans="1:9" x14ac:dyDescent="0.2">
      <c r="A263" t="s">
        <v>511</v>
      </c>
      <c r="B263" s="6" t="str">
        <f>HYPERLINK("[#]Feature_Schema_1!A38548:F38548","HOPPER_P")</f>
        <v>HOPPER_P</v>
      </c>
      <c r="C263" t="s">
        <v>131</v>
      </c>
      <c r="D263" t="s">
        <v>131</v>
      </c>
      <c r="E263" t="s">
        <v>131</v>
      </c>
      <c r="F263" t="s">
        <v>131</v>
      </c>
      <c r="G263" t="s">
        <v>131</v>
      </c>
      <c r="H263">
        <v>100033</v>
      </c>
      <c r="I263" t="s">
        <v>512</v>
      </c>
    </row>
    <row r="264" spans="1:9" x14ac:dyDescent="0.2">
      <c r="A264" t="s">
        <v>513</v>
      </c>
      <c r="B264" s="6" t="str">
        <f>HYPERLINK("[#]Feature_Schema_1!A38617:F38617","HULK_P")</f>
        <v>HULK_P</v>
      </c>
      <c r="C264" t="s">
        <v>233</v>
      </c>
      <c r="D264" t="s">
        <v>233</v>
      </c>
      <c r="E264" t="s">
        <v>233</v>
      </c>
      <c r="F264" t="s">
        <v>233</v>
      </c>
      <c r="G264" t="s">
        <v>233</v>
      </c>
      <c r="H264">
        <v>100279</v>
      </c>
      <c r="I264" t="s">
        <v>514</v>
      </c>
    </row>
    <row r="265" spans="1:9" x14ac:dyDescent="0.2">
      <c r="A265" t="s">
        <v>515</v>
      </c>
      <c r="B265" s="6" t="str">
        <f>HYPERLINK("[#]Feature_Schema_1!A38684:F38684","HUMMOCK_S")</f>
        <v>HUMMOCK_S</v>
      </c>
      <c r="E265" t="s">
        <v>135</v>
      </c>
      <c r="F265" t="s">
        <v>135</v>
      </c>
      <c r="G265" t="s">
        <v>135</v>
      </c>
      <c r="H265">
        <v>100304</v>
      </c>
      <c r="I265" t="s">
        <v>516</v>
      </c>
    </row>
    <row r="266" spans="1:9" x14ac:dyDescent="0.2">
      <c r="A266" t="s">
        <v>517</v>
      </c>
      <c r="B266" s="6" t="str">
        <f>HYPERLINK("[#]Feature_Schema_1!A38718:F38718","HUT_P")</f>
        <v>HUT_P</v>
      </c>
      <c r="D266" t="s">
        <v>100</v>
      </c>
      <c r="E266" t="s">
        <v>100</v>
      </c>
      <c r="F266" t="s">
        <v>100</v>
      </c>
      <c r="G266" t="s">
        <v>100</v>
      </c>
      <c r="H266">
        <v>100103</v>
      </c>
      <c r="I266" t="s">
        <v>518</v>
      </c>
    </row>
    <row r="267" spans="1:9" x14ac:dyDescent="0.2">
      <c r="A267" t="s">
        <v>517</v>
      </c>
      <c r="B267" s="6" t="str">
        <f>HYPERLINK("[#]Feature_Schema_1!A38833:F38833","HUT_S")</f>
        <v>HUT_S</v>
      </c>
      <c r="F267" t="s">
        <v>102</v>
      </c>
      <c r="G267" t="s">
        <v>102</v>
      </c>
      <c r="H267">
        <v>100103</v>
      </c>
      <c r="I267" t="s">
        <v>519</v>
      </c>
    </row>
    <row r="268" spans="1:9" x14ac:dyDescent="0.2">
      <c r="A268" t="s">
        <v>520</v>
      </c>
      <c r="B268" s="6" t="str">
        <f>HYPERLINK("[#]Feature_Schema_1!A38948:F38948","HYDROCARBON_PROD_FACILITY_P")</f>
        <v>HYDROCARBON_PROD_FACILITY_P</v>
      </c>
      <c r="C268" t="s">
        <v>131</v>
      </c>
      <c r="D268" t="s">
        <v>131</v>
      </c>
      <c r="E268" t="s">
        <v>131</v>
      </c>
      <c r="F268" t="s">
        <v>131</v>
      </c>
      <c r="G268" t="s">
        <v>131</v>
      </c>
      <c r="H268">
        <v>100015</v>
      </c>
      <c r="I268" t="s">
        <v>521</v>
      </c>
    </row>
    <row r="269" spans="1:9" x14ac:dyDescent="0.2">
      <c r="A269" t="s">
        <v>520</v>
      </c>
      <c r="B269" s="6" t="str">
        <f>HYPERLINK("[#]Feature_Schema_1!A39087:F39087","HYDROCARBON_PROD_FACILITY_S")</f>
        <v>HYDROCARBON_PROD_FACILITY_S</v>
      </c>
      <c r="C269" t="s">
        <v>17</v>
      </c>
      <c r="D269" t="s">
        <v>17</v>
      </c>
      <c r="E269" t="s">
        <v>17</v>
      </c>
      <c r="F269" t="s">
        <v>17</v>
      </c>
      <c r="G269" t="s">
        <v>17</v>
      </c>
      <c r="H269">
        <v>100015</v>
      </c>
      <c r="I269" t="s">
        <v>522</v>
      </c>
    </row>
    <row r="270" spans="1:9" x14ac:dyDescent="0.2">
      <c r="A270" t="s">
        <v>523</v>
      </c>
      <c r="B270" s="6" t="str">
        <f>HYPERLINK("[#]Feature_Schema_1!A39226:F39226","HYDROCARBONS_FIELD_P")</f>
        <v>HYDROCARBONS_FIELD_P</v>
      </c>
      <c r="C270" t="s">
        <v>524</v>
      </c>
      <c r="D270" t="s">
        <v>524</v>
      </c>
      <c r="G270" t="s">
        <v>524</v>
      </c>
      <c r="H270">
        <v>100006</v>
      </c>
      <c r="I270" t="s">
        <v>525</v>
      </c>
    </row>
    <row r="271" spans="1:9" x14ac:dyDescent="0.2">
      <c r="A271" t="s">
        <v>523</v>
      </c>
      <c r="B271" s="6" t="str">
        <f>HYPERLINK("[#]Feature_Schema_1!A39278:F39278","HYDROCARBONS_FIELD_S")</f>
        <v>HYDROCARBONS_FIELD_S</v>
      </c>
      <c r="C271" t="s">
        <v>17</v>
      </c>
      <c r="D271" t="s">
        <v>17</v>
      </c>
      <c r="E271" t="s">
        <v>17</v>
      </c>
      <c r="F271" t="s">
        <v>17</v>
      </c>
      <c r="G271" t="s">
        <v>17</v>
      </c>
      <c r="H271">
        <v>100006</v>
      </c>
      <c r="I271" t="s">
        <v>526</v>
      </c>
    </row>
    <row r="272" spans="1:9" x14ac:dyDescent="0.2">
      <c r="A272" t="s">
        <v>527</v>
      </c>
      <c r="B272" s="6" t="str">
        <f>HYPERLINK("[#]Feature_Schema_1!A39330:F39330","ICE_CAP_S")</f>
        <v>ICE_CAP_S</v>
      </c>
      <c r="C272" t="s">
        <v>97</v>
      </c>
      <c r="D272" t="s">
        <v>97</v>
      </c>
      <c r="G272" t="s">
        <v>97</v>
      </c>
      <c r="H272">
        <v>100348</v>
      </c>
      <c r="I272" t="s">
        <v>528</v>
      </c>
    </row>
    <row r="273" spans="1:9" x14ac:dyDescent="0.2">
      <c r="A273" t="s">
        <v>529</v>
      </c>
      <c r="B273" s="6" t="str">
        <f>HYPERLINK("[#]Feature_Schema_1!A39384:F39384","ICE_CLIFF_C")</f>
        <v>ICE_CLIFF_C</v>
      </c>
      <c r="C273" t="s">
        <v>269</v>
      </c>
      <c r="D273" t="s">
        <v>269</v>
      </c>
      <c r="E273" t="s">
        <v>269</v>
      </c>
      <c r="F273" t="s">
        <v>269</v>
      </c>
      <c r="G273" t="s">
        <v>269</v>
      </c>
      <c r="H273">
        <v>100343</v>
      </c>
      <c r="I273" t="s">
        <v>530</v>
      </c>
    </row>
    <row r="274" spans="1:9" x14ac:dyDescent="0.2">
      <c r="A274" t="s">
        <v>531</v>
      </c>
      <c r="B274" s="6" t="str">
        <f>HYPERLINK("[#]Feature_Schema_1!A39422:F39422","ICE_PEAK_P")</f>
        <v>ICE_PEAK_P</v>
      </c>
      <c r="C274" t="s">
        <v>223</v>
      </c>
      <c r="D274" t="s">
        <v>223</v>
      </c>
      <c r="E274" t="s">
        <v>223</v>
      </c>
      <c r="F274" t="s">
        <v>223</v>
      </c>
      <c r="G274" t="s">
        <v>223</v>
      </c>
      <c r="H274">
        <v>100344</v>
      </c>
      <c r="I274" t="s">
        <v>532</v>
      </c>
    </row>
    <row r="275" spans="1:9" x14ac:dyDescent="0.2">
      <c r="A275" t="s">
        <v>533</v>
      </c>
      <c r="B275" s="6" t="str">
        <f>HYPERLINK("[#]Feature_Schema_1!A39488:F39488","ICE_ROUTE_C")</f>
        <v>ICE_ROUTE_C</v>
      </c>
      <c r="C275" t="s">
        <v>87</v>
      </c>
      <c r="D275" t="s">
        <v>87</v>
      </c>
      <c r="E275" t="s">
        <v>87</v>
      </c>
      <c r="F275" t="s">
        <v>87</v>
      </c>
      <c r="G275" t="s">
        <v>87</v>
      </c>
      <c r="H275">
        <v>100173</v>
      </c>
      <c r="I275" t="s">
        <v>534</v>
      </c>
    </row>
    <row r="276" spans="1:9" x14ac:dyDescent="0.2">
      <c r="A276" t="s">
        <v>535</v>
      </c>
      <c r="B276" s="6" t="str">
        <f>HYPERLINK("[#]Feature_Schema_1!A39570:F39570","ICE_SHELF_S")</f>
        <v>ICE_SHELF_S</v>
      </c>
      <c r="C276" t="s">
        <v>97</v>
      </c>
      <c r="D276" t="s">
        <v>97</v>
      </c>
      <c r="E276" t="s">
        <v>97</v>
      </c>
      <c r="F276" t="s">
        <v>97</v>
      </c>
      <c r="G276" t="s">
        <v>97</v>
      </c>
      <c r="H276">
        <v>100345</v>
      </c>
      <c r="I276" t="s">
        <v>536</v>
      </c>
    </row>
    <row r="277" spans="1:9" x14ac:dyDescent="0.2">
      <c r="A277" t="s">
        <v>537</v>
      </c>
      <c r="B277" s="6" t="str">
        <f>HYPERLINK("[#]Feature_Schema_1!A39607:F39607","INDUSTRIAL_FARM_P")</f>
        <v>INDUSTRIAL_FARM_P</v>
      </c>
      <c r="C277" t="s">
        <v>105</v>
      </c>
      <c r="D277" t="s">
        <v>105</v>
      </c>
      <c r="G277" t="s">
        <v>105</v>
      </c>
      <c r="H277">
        <v>100129</v>
      </c>
      <c r="I277" t="s">
        <v>538</v>
      </c>
    </row>
    <row r="278" spans="1:9" x14ac:dyDescent="0.2">
      <c r="A278" t="s">
        <v>537</v>
      </c>
      <c r="B278" s="6" t="str">
        <f>HYPERLINK("[#]Feature_Schema_1!A39916:F39916","INDUSTRIAL_FARM_S")</f>
        <v>INDUSTRIAL_FARM_S</v>
      </c>
      <c r="C278" t="s">
        <v>107</v>
      </c>
      <c r="D278" t="s">
        <v>107</v>
      </c>
      <c r="E278" t="s">
        <v>107</v>
      </c>
      <c r="F278" t="s">
        <v>107</v>
      </c>
      <c r="G278" t="s">
        <v>107</v>
      </c>
      <c r="H278">
        <v>100129</v>
      </c>
      <c r="I278" t="s">
        <v>539</v>
      </c>
    </row>
    <row r="279" spans="1:9" x14ac:dyDescent="0.2">
      <c r="A279" t="s">
        <v>540</v>
      </c>
      <c r="B279" s="6" t="str">
        <f>HYPERLINK("[#]Feature_Schema_1!A40225:F40225","INDUSTRIAL_FURNACE_P")</f>
        <v>INDUSTRIAL_FURNACE_P</v>
      </c>
      <c r="E279" t="s">
        <v>131</v>
      </c>
      <c r="F279" t="s">
        <v>131</v>
      </c>
      <c r="G279" t="s">
        <v>131</v>
      </c>
      <c r="H279">
        <v>100016</v>
      </c>
      <c r="I279" t="s">
        <v>541</v>
      </c>
    </row>
    <row r="280" spans="1:9" x14ac:dyDescent="0.2">
      <c r="A280" t="s">
        <v>540</v>
      </c>
      <c r="B280" s="6" t="str">
        <f>HYPERLINK("[#]Feature_Schema_1!A40318:F40318","INDUSTRIAL_FURNACE_S")</f>
        <v>INDUSTRIAL_FURNACE_S</v>
      </c>
      <c r="E280" t="s">
        <v>17</v>
      </c>
      <c r="F280" t="s">
        <v>17</v>
      </c>
      <c r="G280" t="s">
        <v>17</v>
      </c>
      <c r="H280">
        <v>100016</v>
      </c>
      <c r="I280" t="s">
        <v>542</v>
      </c>
    </row>
    <row r="281" spans="1:9" x14ac:dyDescent="0.2">
      <c r="A281" t="s">
        <v>543</v>
      </c>
      <c r="B281" s="6" t="str">
        <f>HYPERLINK("[#]Feature_Schema_1!A40411:F40411","INLAND_WATERBODY_AON_S")</f>
        <v>INLAND_WATERBODY_AON_S</v>
      </c>
      <c r="E281" t="s">
        <v>76</v>
      </c>
      <c r="G281" t="s">
        <v>76</v>
      </c>
      <c r="H281">
        <v>204</v>
      </c>
      <c r="I281" t="s">
        <v>544</v>
      </c>
    </row>
    <row r="282" spans="1:9" x14ac:dyDescent="0.2">
      <c r="A282" t="s">
        <v>545</v>
      </c>
      <c r="B282" s="6" t="str">
        <f>HYPERLINK("[#]Feature_Schema_1!A40686:F40686","INLAND_WATERBODY_P")</f>
        <v>INLAND_WATERBODY_P</v>
      </c>
      <c r="C282" t="s">
        <v>233</v>
      </c>
      <c r="D282" t="s">
        <v>233</v>
      </c>
      <c r="E282" t="s">
        <v>233</v>
      </c>
      <c r="F282" t="s">
        <v>233</v>
      </c>
      <c r="G282" t="s">
        <v>233</v>
      </c>
      <c r="H282">
        <v>130384</v>
      </c>
      <c r="I282" t="s">
        <v>546</v>
      </c>
    </row>
    <row r="283" spans="1:9" x14ac:dyDescent="0.2">
      <c r="A283" t="s">
        <v>545</v>
      </c>
      <c r="B283" s="6" t="str">
        <f>HYPERLINK("[#]Feature_Schema_1!A40996:F40996","INLAND_WATERBODY_S")</f>
        <v>INLAND_WATERBODY_S</v>
      </c>
      <c r="C283" t="s">
        <v>81</v>
      </c>
      <c r="D283" t="s">
        <v>81</v>
      </c>
      <c r="E283" t="s">
        <v>81</v>
      </c>
      <c r="F283" t="s">
        <v>81</v>
      </c>
      <c r="G283" t="s">
        <v>81</v>
      </c>
      <c r="H283">
        <v>130384</v>
      </c>
      <c r="I283" t="s">
        <v>547</v>
      </c>
    </row>
    <row r="284" spans="1:9" x14ac:dyDescent="0.2">
      <c r="A284" t="s">
        <v>548</v>
      </c>
      <c r="B284" s="6" t="str">
        <f>HYPERLINK("[#]Feature_Schema_1!A41306:F41306","INSTALLATION_BOUNDARY_C")</f>
        <v>INSTALLATION_BOUNDARY_C</v>
      </c>
      <c r="E284" t="s">
        <v>304</v>
      </c>
      <c r="F284" t="s">
        <v>304</v>
      </c>
      <c r="G284" t="s">
        <v>304</v>
      </c>
      <c r="H284">
        <v>180061</v>
      </c>
      <c r="I284" t="s">
        <v>549</v>
      </c>
    </row>
    <row r="285" spans="1:9" x14ac:dyDescent="0.2">
      <c r="A285" t="s">
        <v>550</v>
      </c>
      <c r="B285" s="6" t="str">
        <f>HYPERLINK("[#]Feature_Schema_1!A41342:F41342","INSTALLATION_P")</f>
        <v>INSTALLATION_P</v>
      </c>
      <c r="C285" t="s">
        <v>378</v>
      </c>
      <c r="D285" t="s">
        <v>378</v>
      </c>
      <c r="G285" t="s">
        <v>378</v>
      </c>
      <c r="H285">
        <v>100081</v>
      </c>
      <c r="I285" t="s">
        <v>551</v>
      </c>
    </row>
    <row r="286" spans="1:9" x14ac:dyDescent="0.2">
      <c r="A286" t="s">
        <v>550</v>
      </c>
      <c r="B286" s="6" t="str">
        <f>HYPERLINK("[#]Feature_Schema_1!A41408:F41408","INSTALLATION_S")</f>
        <v>INSTALLATION_S</v>
      </c>
      <c r="C286" t="s">
        <v>380</v>
      </c>
      <c r="D286" t="s">
        <v>380</v>
      </c>
      <c r="G286" t="s">
        <v>380</v>
      </c>
      <c r="H286">
        <v>100081</v>
      </c>
      <c r="I286" t="s">
        <v>552</v>
      </c>
    </row>
    <row r="287" spans="1:9" x14ac:dyDescent="0.2">
      <c r="A287" t="s">
        <v>553</v>
      </c>
      <c r="B287" s="6" t="str">
        <f>HYPERLINK("[#]Feature_Schema_1!A41474:F41474","INSUBSTANTIAL_NAV_MARK_P")</f>
        <v>INSUBSTANTIAL_NAV_MARK_P</v>
      </c>
      <c r="E287" t="s">
        <v>181</v>
      </c>
      <c r="F287" t="s">
        <v>181</v>
      </c>
      <c r="G287" t="s">
        <v>181</v>
      </c>
      <c r="H287">
        <v>100257</v>
      </c>
      <c r="I287" t="s">
        <v>554</v>
      </c>
    </row>
    <row r="288" spans="1:9" x14ac:dyDescent="0.2">
      <c r="A288" t="s">
        <v>555</v>
      </c>
      <c r="B288" s="6" t="str">
        <f>HYPERLINK("[#]Feature_Schema_1!A41790:F41790","INTEREST_SITE_P")</f>
        <v>INTEREST_SITE_P</v>
      </c>
      <c r="F288" t="s">
        <v>92</v>
      </c>
      <c r="G288" t="s">
        <v>92</v>
      </c>
      <c r="H288">
        <v>100117</v>
      </c>
      <c r="I288" t="s">
        <v>556</v>
      </c>
    </row>
    <row r="289" spans="1:9" x14ac:dyDescent="0.2">
      <c r="A289" t="s">
        <v>555</v>
      </c>
      <c r="B289" s="6" t="str">
        <f>HYPERLINK("[#]Feature_Schema_1!A41899:F41899","INTEREST_SITE_S")</f>
        <v>INTEREST_SITE_S</v>
      </c>
      <c r="F289" t="s">
        <v>94</v>
      </c>
      <c r="G289" t="s">
        <v>94</v>
      </c>
      <c r="H289">
        <v>100117</v>
      </c>
      <c r="I289" t="s">
        <v>557</v>
      </c>
    </row>
    <row r="290" spans="1:9" x14ac:dyDescent="0.2">
      <c r="A290" t="s">
        <v>558</v>
      </c>
      <c r="B290" s="6" t="str">
        <f>HYPERLINK("[#]Feature_Schema_1!A42008:F42008","INTERNATIONAL_DATE_LINE_C")</f>
        <v>INTERNATIONAL_DATE_LINE_C</v>
      </c>
      <c r="C290" t="s">
        <v>11</v>
      </c>
      <c r="D290" t="s">
        <v>11</v>
      </c>
      <c r="E290" t="s">
        <v>11</v>
      </c>
      <c r="F290" t="s">
        <v>11</v>
      </c>
      <c r="G290" t="s">
        <v>11</v>
      </c>
      <c r="H290">
        <v>100415</v>
      </c>
      <c r="I290" t="s">
        <v>559</v>
      </c>
    </row>
    <row r="291" spans="1:9" x14ac:dyDescent="0.2">
      <c r="A291" t="s">
        <v>560</v>
      </c>
      <c r="B291" s="6" t="str">
        <f>HYPERLINK("[#]Feature_Schema_1!A42038:F42038","ISLAND_P")</f>
        <v>ISLAND_P</v>
      </c>
      <c r="C291" t="s">
        <v>223</v>
      </c>
      <c r="D291" t="s">
        <v>223</v>
      </c>
      <c r="F291" t="s">
        <v>223</v>
      </c>
      <c r="G291" t="s">
        <v>223</v>
      </c>
      <c r="H291">
        <v>100217</v>
      </c>
      <c r="I291" t="s">
        <v>561</v>
      </c>
    </row>
    <row r="292" spans="1:9" x14ac:dyDescent="0.2">
      <c r="A292" t="s">
        <v>560</v>
      </c>
      <c r="B292" s="6" t="str">
        <f>HYPERLINK("[#]Feature_Schema_1!A42113:F42113","ISLAND_S")</f>
        <v>ISLAND_S</v>
      </c>
      <c r="C292" t="s">
        <v>97</v>
      </c>
      <c r="D292" t="s">
        <v>97</v>
      </c>
      <c r="E292" t="s">
        <v>97</v>
      </c>
      <c r="F292" t="s">
        <v>97</v>
      </c>
      <c r="G292" t="s">
        <v>97</v>
      </c>
      <c r="H292">
        <v>100217</v>
      </c>
      <c r="I292" t="s">
        <v>562</v>
      </c>
    </row>
    <row r="293" spans="1:9" x14ac:dyDescent="0.2">
      <c r="A293" t="s">
        <v>563</v>
      </c>
      <c r="B293" s="6" t="str">
        <f>HYPERLINK("[#]Feature_Schema_1!A42188:F42188","LAGOON_S")</f>
        <v>LAGOON_S</v>
      </c>
      <c r="D293" t="s">
        <v>73</v>
      </c>
      <c r="E293" t="s">
        <v>73</v>
      </c>
      <c r="F293" t="s">
        <v>73</v>
      </c>
      <c r="G293" t="s">
        <v>73</v>
      </c>
      <c r="H293">
        <v>100322</v>
      </c>
      <c r="I293" t="s">
        <v>564</v>
      </c>
    </row>
    <row r="294" spans="1:9" x14ac:dyDescent="0.2">
      <c r="A294" t="s">
        <v>565</v>
      </c>
      <c r="B294" s="6" t="str">
        <f>HYPERLINK("[#]Feature_Schema_1!A42323:F42323","LAND_AERODROME_P")</f>
        <v>LAND_AERODROME_P</v>
      </c>
      <c r="C294" t="s">
        <v>32</v>
      </c>
      <c r="D294" t="s">
        <v>32</v>
      </c>
      <c r="G294" t="s">
        <v>32</v>
      </c>
      <c r="H294">
        <v>100436</v>
      </c>
      <c r="I294" t="s">
        <v>566</v>
      </c>
    </row>
    <row r="295" spans="1:9" x14ac:dyDescent="0.2">
      <c r="A295" t="s">
        <v>565</v>
      </c>
      <c r="B295" s="6" t="str">
        <f>HYPERLINK("[#]Feature_Schema_1!A42450:F42450","LAND_AERODROME_S")</f>
        <v>LAND_AERODROME_S</v>
      </c>
      <c r="C295" t="s">
        <v>34</v>
      </c>
      <c r="D295" t="s">
        <v>34</v>
      </c>
      <c r="E295" t="s">
        <v>34</v>
      </c>
      <c r="F295" t="s">
        <v>34</v>
      </c>
      <c r="G295" t="s">
        <v>34</v>
      </c>
      <c r="H295">
        <v>100436</v>
      </c>
      <c r="I295" t="s">
        <v>567</v>
      </c>
    </row>
    <row r="296" spans="1:9" x14ac:dyDescent="0.2">
      <c r="A296" t="s">
        <v>568</v>
      </c>
      <c r="B296" s="6" t="str">
        <f>HYPERLINK("[#]Feature_Schema_1!A42577:F42577","LAND_PARCEL_S")</f>
        <v>LAND_PARCEL_S</v>
      </c>
      <c r="E296" t="s">
        <v>569</v>
      </c>
      <c r="F296" t="s">
        <v>569</v>
      </c>
      <c r="G296" t="s">
        <v>569</v>
      </c>
      <c r="H296">
        <v>100458</v>
      </c>
      <c r="I296" t="s">
        <v>570</v>
      </c>
    </row>
    <row r="297" spans="1:9" x14ac:dyDescent="0.2">
      <c r="A297" t="s">
        <v>571</v>
      </c>
      <c r="B297" s="6" t="str">
        <f>HYPERLINK("[#]Feature_Schema_1!A42625:F42625","LAND_SUBJECT_TO_INUNDATION_S")</f>
        <v>LAND_SUBJECT_TO_INUNDATION_S</v>
      </c>
      <c r="C297" t="s">
        <v>81</v>
      </c>
      <c r="D297" t="s">
        <v>81</v>
      </c>
      <c r="E297" t="s">
        <v>81</v>
      </c>
      <c r="F297" t="s">
        <v>81</v>
      </c>
      <c r="G297" t="s">
        <v>81</v>
      </c>
      <c r="H297">
        <v>100307</v>
      </c>
      <c r="I297" t="s">
        <v>572</v>
      </c>
    </row>
    <row r="298" spans="1:9" x14ac:dyDescent="0.2">
      <c r="A298" t="s">
        <v>573</v>
      </c>
      <c r="B298" s="6" t="str">
        <f>HYPERLINK("[#]Feature_Schema_1!A42672:F42672","LAND_WATER_BOUNDARY_C")</f>
        <v>LAND_WATER_BOUNDARY_C</v>
      </c>
      <c r="C298" t="s">
        <v>269</v>
      </c>
      <c r="D298" t="s">
        <v>269</v>
      </c>
      <c r="E298" t="s">
        <v>269</v>
      </c>
      <c r="F298" t="s">
        <v>269</v>
      </c>
      <c r="G298" t="s">
        <v>269</v>
      </c>
      <c r="H298">
        <v>100212</v>
      </c>
      <c r="I298" t="s">
        <v>574</v>
      </c>
    </row>
    <row r="299" spans="1:9" x14ac:dyDescent="0.2">
      <c r="A299" t="s">
        <v>575</v>
      </c>
      <c r="B299" s="6" t="str">
        <f>HYPERLINK("[#]Feature_Schema_1!A42751:F42751","LANDING_ZONE_P")</f>
        <v>LANDING_ZONE_P</v>
      </c>
      <c r="C299" t="s">
        <v>27</v>
      </c>
      <c r="D299" t="s">
        <v>27</v>
      </c>
      <c r="G299" t="s">
        <v>27</v>
      </c>
      <c r="H299">
        <v>100</v>
      </c>
      <c r="I299" t="s">
        <v>576</v>
      </c>
    </row>
    <row r="300" spans="1:9" x14ac:dyDescent="0.2">
      <c r="A300" t="s">
        <v>575</v>
      </c>
      <c r="B300" s="6" t="str">
        <f>HYPERLINK("[#]Feature_Schema_1!A42781:F42781","LANDING_ZONE_S")</f>
        <v>LANDING_ZONE_S</v>
      </c>
      <c r="E300" t="s">
        <v>577</v>
      </c>
      <c r="F300" t="s">
        <v>577</v>
      </c>
      <c r="G300" t="s">
        <v>577</v>
      </c>
      <c r="H300">
        <v>100</v>
      </c>
      <c r="I300" t="s">
        <v>578</v>
      </c>
    </row>
    <row r="301" spans="1:9" x14ac:dyDescent="0.2">
      <c r="A301" t="s">
        <v>579</v>
      </c>
      <c r="B301" s="6" t="str">
        <f>HYPERLINK("[#]Feature_Schema_1!A42811:F42811","LANDSLIDE_MASS_S")</f>
        <v>LANDSLIDE_MASS_S</v>
      </c>
      <c r="F301" t="s">
        <v>97</v>
      </c>
      <c r="G301" t="s">
        <v>97</v>
      </c>
      <c r="H301">
        <v>100379</v>
      </c>
      <c r="I301" t="s">
        <v>580</v>
      </c>
    </row>
    <row r="302" spans="1:9" x14ac:dyDescent="0.2">
      <c r="A302" t="s">
        <v>581</v>
      </c>
      <c r="B302" s="6" t="str">
        <f>HYPERLINK("[#]Feature_Schema_1!A42848:F42848","LAUNCH_PAD_P")</f>
        <v>LAUNCH_PAD_P</v>
      </c>
      <c r="C302" t="s">
        <v>32</v>
      </c>
      <c r="D302" t="s">
        <v>32</v>
      </c>
      <c r="E302" t="s">
        <v>32</v>
      </c>
      <c r="F302" t="s">
        <v>32</v>
      </c>
      <c r="G302" t="s">
        <v>32</v>
      </c>
      <c r="H302">
        <v>100443</v>
      </c>
      <c r="I302" t="s">
        <v>582</v>
      </c>
    </row>
    <row r="303" spans="1:9" x14ac:dyDescent="0.2">
      <c r="A303" t="s">
        <v>581</v>
      </c>
      <c r="B303" s="6" t="str">
        <f>HYPERLINK("[#]Feature_Schema_1!A42932:F42932","LAUNCH_PAD_S")</f>
        <v>LAUNCH_PAD_S</v>
      </c>
      <c r="F303" t="s">
        <v>34</v>
      </c>
      <c r="G303" t="s">
        <v>34</v>
      </c>
      <c r="H303">
        <v>100443</v>
      </c>
      <c r="I303" t="s">
        <v>583</v>
      </c>
    </row>
    <row r="304" spans="1:9" x14ac:dyDescent="0.2">
      <c r="A304" t="s">
        <v>584</v>
      </c>
      <c r="B304" s="6" t="str">
        <f>HYPERLINK("[#]Feature_Schema_1!A43016:F43016","LIGHT_SECTOR_P")</f>
        <v>LIGHT_SECTOR_P</v>
      </c>
      <c r="F304" t="s">
        <v>181</v>
      </c>
      <c r="G304" t="s">
        <v>181</v>
      </c>
      <c r="H304">
        <v>100255</v>
      </c>
      <c r="I304" t="s">
        <v>585</v>
      </c>
    </row>
    <row r="305" spans="1:9" x14ac:dyDescent="0.2">
      <c r="A305" t="s">
        <v>586</v>
      </c>
      <c r="B305" s="6" t="str">
        <f>HYPERLINK("[#]Feature_Schema_1!A43059:F43059","LIGHT_SUPPORT_STRUCTURE_P")</f>
        <v>LIGHT_SUPPORT_STRUCTURE_P</v>
      </c>
      <c r="C305" t="s">
        <v>100</v>
      </c>
      <c r="D305" t="s">
        <v>100</v>
      </c>
      <c r="E305" t="s">
        <v>100</v>
      </c>
      <c r="F305" t="s">
        <v>100</v>
      </c>
      <c r="G305" t="s">
        <v>100</v>
      </c>
      <c r="H305">
        <v>100105</v>
      </c>
      <c r="I305" t="s">
        <v>587</v>
      </c>
    </row>
    <row r="306" spans="1:9" x14ac:dyDescent="0.2">
      <c r="A306" t="s">
        <v>588</v>
      </c>
      <c r="B306" s="6" t="str">
        <f>HYPERLINK("[#]Feature_Schema_1!A43166:F43166","LIGHT_VESSEL_P")</f>
        <v>LIGHT_VESSEL_P</v>
      </c>
      <c r="C306" t="s">
        <v>589</v>
      </c>
      <c r="D306" t="s">
        <v>589</v>
      </c>
      <c r="E306" t="s">
        <v>589</v>
      </c>
      <c r="F306" t="s">
        <v>589</v>
      </c>
      <c r="G306" t="s">
        <v>589</v>
      </c>
      <c r="H306">
        <v>100256</v>
      </c>
      <c r="I306" t="s">
        <v>590</v>
      </c>
    </row>
    <row r="307" spans="1:9" x14ac:dyDescent="0.2">
      <c r="A307" t="s">
        <v>591</v>
      </c>
      <c r="B307" s="6" t="str">
        <f>HYPERLINK("[#]Feature_Schema_1!A43296:F43296","LIGHTHOUSE_P")</f>
        <v>LIGHTHOUSE_P</v>
      </c>
      <c r="C307" t="s">
        <v>589</v>
      </c>
      <c r="D307" t="s">
        <v>589</v>
      </c>
      <c r="E307" t="s">
        <v>589</v>
      </c>
      <c r="F307" t="s">
        <v>589</v>
      </c>
      <c r="G307" t="s">
        <v>589</v>
      </c>
      <c r="H307">
        <v>100253</v>
      </c>
      <c r="I307" t="s">
        <v>592</v>
      </c>
    </row>
    <row r="308" spans="1:9" x14ac:dyDescent="0.2">
      <c r="A308" t="s">
        <v>591</v>
      </c>
      <c r="B308" s="6" t="str">
        <f>HYPERLINK("[#]Feature_Schema_1!A43472:F43472","LIGHTHOUSE_S")</f>
        <v>LIGHTHOUSE_S</v>
      </c>
      <c r="E308" t="s">
        <v>593</v>
      </c>
      <c r="F308" t="s">
        <v>593</v>
      </c>
      <c r="G308" t="s">
        <v>593</v>
      </c>
      <c r="H308">
        <v>100253</v>
      </c>
      <c r="I308" t="s">
        <v>594</v>
      </c>
    </row>
    <row r="309" spans="1:9" x14ac:dyDescent="0.2">
      <c r="A309" t="s">
        <v>595</v>
      </c>
      <c r="B309" s="6" t="str">
        <f>HYPERLINK("[#]Feature_Schema_1!A43648:F43648","LIQUID_DIFFUSER_P")</f>
        <v>LIQUID_DIFFUSER_P</v>
      </c>
      <c r="F309" t="s">
        <v>20</v>
      </c>
      <c r="G309" t="s">
        <v>20</v>
      </c>
      <c r="H309">
        <v>100009</v>
      </c>
      <c r="I309" t="s">
        <v>596</v>
      </c>
    </row>
    <row r="310" spans="1:9" x14ac:dyDescent="0.2">
      <c r="A310" t="s">
        <v>597</v>
      </c>
      <c r="B310" s="6" t="str">
        <f>HYPERLINK("[#]Feature_Schema_1!A43703:F43703","LOCAL_MAGNETIC_ANOMALY_S")</f>
        <v>LOCAL_MAGNETIC_ANOMALY_S</v>
      </c>
      <c r="E310" t="s">
        <v>598</v>
      </c>
      <c r="F310" t="s">
        <v>598</v>
      </c>
      <c r="G310" t="s">
        <v>598</v>
      </c>
      <c r="H310">
        <v>100469</v>
      </c>
      <c r="I310" t="s">
        <v>599</v>
      </c>
    </row>
    <row r="311" spans="1:9" x14ac:dyDescent="0.2">
      <c r="A311" t="s">
        <v>600</v>
      </c>
      <c r="B311" s="6" t="str">
        <f>HYPERLINK("[#]Feature_Schema_1!A43737:F43737","LOCK_C")</f>
        <v>LOCK_C</v>
      </c>
      <c r="E311" t="s">
        <v>110</v>
      </c>
      <c r="F311" t="s">
        <v>110</v>
      </c>
      <c r="G311" t="s">
        <v>110</v>
      </c>
      <c r="H311">
        <v>100331</v>
      </c>
      <c r="I311" t="s">
        <v>601</v>
      </c>
    </row>
    <row r="312" spans="1:9" x14ac:dyDescent="0.2">
      <c r="A312" t="s">
        <v>600</v>
      </c>
      <c r="B312" s="6" t="str">
        <f>HYPERLINK("[#]Feature_Schema_1!A43847:F43847","LOCK_P")</f>
        <v>LOCK_P</v>
      </c>
      <c r="C312" t="s">
        <v>112</v>
      </c>
      <c r="D312" t="s">
        <v>112</v>
      </c>
      <c r="E312" t="s">
        <v>112</v>
      </c>
      <c r="F312" t="s">
        <v>112</v>
      </c>
      <c r="G312" t="s">
        <v>112</v>
      </c>
      <c r="H312">
        <v>100331</v>
      </c>
      <c r="I312" t="s">
        <v>602</v>
      </c>
    </row>
    <row r="313" spans="1:9" x14ac:dyDescent="0.2">
      <c r="A313" t="s">
        <v>600</v>
      </c>
      <c r="B313" s="6" t="str">
        <f>HYPERLINK("[#]Feature_Schema_1!A43957:F43957","LOCK_S")</f>
        <v>LOCK_S</v>
      </c>
      <c r="E313" t="s">
        <v>392</v>
      </c>
      <c r="F313" t="s">
        <v>392</v>
      </c>
      <c r="G313" t="s">
        <v>392</v>
      </c>
      <c r="H313">
        <v>100331</v>
      </c>
      <c r="I313" t="s">
        <v>603</v>
      </c>
    </row>
    <row r="314" spans="1:9" x14ac:dyDescent="0.2">
      <c r="A314" t="s">
        <v>604</v>
      </c>
      <c r="B314" s="6" t="str">
        <f>HYPERLINK("[#]Feature_Schema_1!A44067:F44067","LOGGING_SITE_S")</f>
        <v>LOGGING_SITE_S</v>
      </c>
      <c r="F314" t="s">
        <v>135</v>
      </c>
      <c r="G314" t="s">
        <v>135</v>
      </c>
      <c r="H314">
        <v>100401</v>
      </c>
      <c r="I314" t="s">
        <v>605</v>
      </c>
    </row>
    <row r="315" spans="1:9" x14ac:dyDescent="0.2">
      <c r="A315" t="s">
        <v>606</v>
      </c>
      <c r="B315" s="6" t="str">
        <f>HYPERLINK("[#]Feature_Schema_1!A44105:F44105","LOOKOUT_P")</f>
        <v>LOOKOUT_P</v>
      </c>
      <c r="D315" t="s">
        <v>92</v>
      </c>
      <c r="E315" t="s">
        <v>92</v>
      </c>
      <c r="F315" t="s">
        <v>92</v>
      </c>
      <c r="G315" t="s">
        <v>92</v>
      </c>
      <c r="H315">
        <v>100066</v>
      </c>
      <c r="I315" t="s">
        <v>607</v>
      </c>
    </row>
    <row r="316" spans="1:9" x14ac:dyDescent="0.2">
      <c r="A316" t="s">
        <v>606</v>
      </c>
      <c r="B316" s="6" t="str">
        <f>HYPERLINK("[#]Feature_Schema_1!A44160:F44160","LOOKOUT_S")</f>
        <v>LOOKOUT_S</v>
      </c>
      <c r="F316" t="s">
        <v>94</v>
      </c>
      <c r="G316" t="s">
        <v>94</v>
      </c>
      <c r="H316">
        <v>100066</v>
      </c>
      <c r="I316" t="s">
        <v>608</v>
      </c>
    </row>
    <row r="317" spans="1:9" x14ac:dyDescent="0.2">
      <c r="A317" t="s">
        <v>609</v>
      </c>
      <c r="B317" s="6" t="str">
        <f>HYPERLINK("[#]Feature_Schema_1!A44215:F44215","MANOR_HOUSE_P")</f>
        <v>MANOR_HOUSE_P</v>
      </c>
      <c r="E317" t="s">
        <v>100</v>
      </c>
      <c r="F317" t="s">
        <v>100</v>
      </c>
      <c r="G317" t="s">
        <v>100</v>
      </c>
      <c r="H317">
        <v>180086</v>
      </c>
      <c r="I317" t="s">
        <v>610</v>
      </c>
    </row>
    <row r="318" spans="1:9" x14ac:dyDescent="0.2">
      <c r="A318" t="s">
        <v>609</v>
      </c>
      <c r="B318" s="6" t="str">
        <f>HYPERLINK("[#]Feature_Schema_1!A44356:F44356","MANOR_HOUSE_S")</f>
        <v>MANOR_HOUSE_S</v>
      </c>
      <c r="E318" t="s">
        <v>102</v>
      </c>
      <c r="F318" t="s">
        <v>102</v>
      </c>
      <c r="G318" t="s">
        <v>102</v>
      </c>
      <c r="H318">
        <v>180086</v>
      </c>
      <c r="I318" t="s">
        <v>611</v>
      </c>
    </row>
    <row r="319" spans="1:9" x14ac:dyDescent="0.2">
      <c r="A319" t="s">
        <v>612</v>
      </c>
      <c r="B319" s="6" t="str">
        <f>HYPERLINK("[#]Feature_Schema_1!A44497:F44497","MANUFACTURED_HOME_PARK_S")</f>
        <v>MANUFACTURED_HOME_PARK_S</v>
      </c>
      <c r="C319" t="s">
        <v>178</v>
      </c>
      <c r="D319" t="s">
        <v>178</v>
      </c>
      <c r="E319" t="s">
        <v>178</v>
      </c>
      <c r="F319" t="s">
        <v>178</v>
      </c>
      <c r="G319" t="s">
        <v>178</v>
      </c>
      <c r="H319">
        <v>133168</v>
      </c>
      <c r="I319" t="s">
        <v>613</v>
      </c>
    </row>
    <row r="320" spans="1:9" x14ac:dyDescent="0.2">
      <c r="A320" t="s">
        <v>614</v>
      </c>
      <c r="B320" s="6" t="str">
        <f>HYPERLINK("[#]Feature_Schema_1!A44603:F44603","MARICULTURE_SITE_S")</f>
        <v>MARICULTURE_SITE_S</v>
      </c>
      <c r="E320" t="s">
        <v>73</v>
      </c>
      <c r="F320" t="s">
        <v>73</v>
      </c>
      <c r="G320" t="s">
        <v>73</v>
      </c>
      <c r="H320">
        <v>191874</v>
      </c>
      <c r="I320" t="s">
        <v>615</v>
      </c>
    </row>
    <row r="321" spans="1:9" x14ac:dyDescent="0.2">
      <c r="A321" t="s">
        <v>616</v>
      </c>
      <c r="B321" s="6" t="str">
        <f>HYPERLINK("[#]Feature_Schema_1!A44713:F44713","MARITIME_CAUTION_AREA_S")</f>
        <v>MARITIME_CAUTION_AREA_S</v>
      </c>
      <c r="E321" t="s">
        <v>73</v>
      </c>
      <c r="F321" t="s">
        <v>73</v>
      </c>
      <c r="G321" t="s">
        <v>73</v>
      </c>
      <c r="H321">
        <v>100419</v>
      </c>
      <c r="I321" t="s">
        <v>617</v>
      </c>
    </row>
    <row r="322" spans="1:9" x14ac:dyDescent="0.2">
      <c r="A322" t="s">
        <v>618</v>
      </c>
      <c r="B322" s="6" t="str">
        <f>HYPERLINK("[#]Feature_Schema_1!A45120:F45120","MARITIME_LIMIT_C")</f>
        <v>MARITIME_LIMIT_C</v>
      </c>
      <c r="E322" t="s">
        <v>312</v>
      </c>
      <c r="F322" t="s">
        <v>312</v>
      </c>
      <c r="G322" t="s">
        <v>312</v>
      </c>
      <c r="H322">
        <v>100418</v>
      </c>
      <c r="I322" t="s">
        <v>619</v>
      </c>
    </row>
    <row r="323" spans="1:9" x14ac:dyDescent="0.2">
      <c r="A323" t="s">
        <v>620</v>
      </c>
      <c r="B323" s="6" t="str">
        <f>HYPERLINK("[#]Feature_Schema_1!A45369:F45369","MARITIME_NAV_LIGHT_SUPPORT_P")</f>
        <v>MARITIME_NAV_LIGHT_SUPPORT_P</v>
      </c>
      <c r="E323" t="s">
        <v>181</v>
      </c>
      <c r="F323" t="s">
        <v>181</v>
      </c>
      <c r="G323" t="s">
        <v>181</v>
      </c>
      <c r="H323">
        <v>134663</v>
      </c>
      <c r="I323" t="s">
        <v>621</v>
      </c>
    </row>
    <row r="324" spans="1:9" x14ac:dyDescent="0.2">
      <c r="A324" t="s">
        <v>622</v>
      </c>
      <c r="B324" s="6" t="str">
        <f>HYPERLINK("[#]Feature_Schema_1!A45579:F45579","MARITIME_NAVIGATION_BEACON_P")</f>
        <v>MARITIME_NAVIGATION_BEACON_P</v>
      </c>
      <c r="E324" t="s">
        <v>181</v>
      </c>
      <c r="F324" t="s">
        <v>181</v>
      </c>
      <c r="G324" t="s">
        <v>181</v>
      </c>
      <c r="H324">
        <v>100247</v>
      </c>
      <c r="I324" t="s">
        <v>623</v>
      </c>
    </row>
    <row r="325" spans="1:9" x14ac:dyDescent="0.2">
      <c r="A325" t="s">
        <v>624</v>
      </c>
      <c r="B325" s="6" t="str">
        <f>HYPERLINK("[#]Feature_Schema_1!A45740:F45740","MARITIME_NAVIGATION_LIGHT_P")</f>
        <v>MARITIME_NAVIGATION_LIGHT_P</v>
      </c>
      <c r="D325" t="s">
        <v>181</v>
      </c>
      <c r="E325" t="s">
        <v>181</v>
      </c>
      <c r="F325" t="s">
        <v>181</v>
      </c>
      <c r="G325" t="s">
        <v>181</v>
      </c>
      <c r="H325">
        <v>100252</v>
      </c>
      <c r="I325" t="s">
        <v>625</v>
      </c>
    </row>
    <row r="326" spans="1:9" x14ac:dyDescent="0.2">
      <c r="A326" t="s">
        <v>626</v>
      </c>
      <c r="B326" s="6" t="str">
        <f>HYPERLINK("[#]Feature_Schema_1!A45956:F45956","MARITIME_NAVIGATION_MARKER_P")</f>
        <v>MARITIME_NAVIGATION_MARKER_P</v>
      </c>
      <c r="E326" t="s">
        <v>181</v>
      </c>
      <c r="F326" t="s">
        <v>181</v>
      </c>
      <c r="G326" t="s">
        <v>181</v>
      </c>
      <c r="H326">
        <v>100254</v>
      </c>
      <c r="I326" t="s">
        <v>627</v>
      </c>
    </row>
    <row r="327" spans="1:9" x14ac:dyDescent="0.2">
      <c r="A327" t="s">
        <v>628</v>
      </c>
      <c r="B327" s="6" t="str">
        <f>HYPERLINK("[#]Feature_Schema_1!A46017:F46017","MARITIME_RADAR_REF_LINE_C")</f>
        <v>MARITIME_RADAR_REF_LINE_C</v>
      </c>
      <c r="E327" t="s">
        <v>629</v>
      </c>
      <c r="F327" t="s">
        <v>629</v>
      </c>
      <c r="G327" t="s">
        <v>629</v>
      </c>
      <c r="H327">
        <v>100429</v>
      </c>
      <c r="I327" t="s">
        <v>630</v>
      </c>
    </row>
    <row r="328" spans="1:9" x14ac:dyDescent="0.2">
      <c r="A328" t="s">
        <v>631</v>
      </c>
      <c r="B328" s="6" t="str">
        <f>HYPERLINK("[#]Feature_Schema_1!A46052:F46052","MARITIME_RADIOBEACON_P")</f>
        <v>MARITIME_RADIOBEACON_P</v>
      </c>
      <c r="E328" t="s">
        <v>181</v>
      </c>
      <c r="F328" t="s">
        <v>181</v>
      </c>
      <c r="G328" t="s">
        <v>181</v>
      </c>
      <c r="H328">
        <v>100251</v>
      </c>
      <c r="I328" t="s">
        <v>632</v>
      </c>
    </row>
    <row r="329" spans="1:9" x14ac:dyDescent="0.2">
      <c r="A329" t="s">
        <v>633</v>
      </c>
      <c r="B329" s="6" t="str">
        <f>HYPERLINK("[#]Feature_Schema_1!A46161:F46161","MARITIME_ROUTE_C")</f>
        <v>MARITIME_ROUTE_C</v>
      </c>
      <c r="E329" t="s">
        <v>312</v>
      </c>
      <c r="F329" t="s">
        <v>312</v>
      </c>
      <c r="G329" t="s">
        <v>312</v>
      </c>
      <c r="H329">
        <v>100430</v>
      </c>
      <c r="I329" t="s">
        <v>634</v>
      </c>
    </row>
    <row r="330" spans="1:9" x14ac:dyDescent="0.2">
      <c r="A330" t="s">
        <v>633</v>
      </c>
      <c r="B330" s="6" t="str">
        <f>HYPERLINK("[#]Feature_Schema_1!A46376:F46376","MARITIME_ROUTE_S")</f>
        <v>MARITIME_ROUTE_S</v>
      </c>
      <c r="E330" t="s">
        <v>73</v>
      </c>
      <c r="F330" t="s">
        <v>73</v>
      </c>
      <c r="G330" t="s">
        <v>73</v>
      </c>
      <c r="H330">
        <v>100430</v>
      </c>
      <c r="I330" t="s">
        <v>635</v>
      </c>
    </row>
    <row r="331" spans="1:9" x14ac:dyDescent="0.2">
      <c r="A331" t="s">
        <v>636</v>
      </c>
      <c r="B331" s="6" t="str">
        <f>HYPERLINK("[#]Feature_Schema_1!A46591:F46591","MARITIME_SIGNAL_STATION_P")</f>
        <v>MARITIME_SIGNAL_STATION_P</v>
      </c>
      <c r="E331" t="s">
        <v>181</v>
      </c>
      <c r="F331" t="s">
        <v>181</v>
      </c>
      <c r="G331" t="s">
        <v>181</v>
      </c>
      <c r="H331">
        <v>100241</v>
      </c>
      <c r="I331" t="s">
        <v>637</v>
      </c>
    </row>
    <row r="332" spans="1:9" x14ac:dyDescent="0.2">
      <c r="A332" t="s">
        <v>638</v>
      </c>
      <c r="B332" s="6" t="str">
        <f>HYPERLINK("[#]Feature_Schema_1!A46790:F46790","MARSH_S")</f>
        <v>MARSH_S</v>
      </c>
      <c r="C332" t="s">
        <v>135</v>
      </c>
      <c r="D332" t="s">
        <v>135</v>
      </c>
      <c r="E332" t="s">
        <v>135</v>
      </c>
      <c r="F332" t="s">
        <v>135</v>
      </c>
      <c r="G332" t="s">
        <v>135</v>
      </c>
      <c r="H332">
        <v>100399</v>
      </c>
      <c r="I332" t="s">
        <v>639</v>
      </c>
    </row>
    <row r="333" spans="1:9" x14ac:dyDescent="0.2">
      <c r="A333" t="s">
        <v>640</v>
      </c>
      <c r="B333" s="6" t="str">
        <f>HYPERLINK("[#]Feature_Schema_1!A46937:F46937","MEASURED_DISTANCE_LINE_C")</f>
        <v>MEASURED_DISTANCE_LINE_C</v>
      </c>
      <c r="E333" t="s">
        <v>312</v>
      </c>
      <c r="F333" t="s">
        <v>312</v>
      </c>
      <c r="G333" t="s">
        <v>312</v>
      </c>
      <c r="H333">
        <v>100426</v>
      </c>
      <c r="I333" t="s">
        <v>641</v>
      </c>
    </row>
    <row r="334" spans="1:9" x14ac:dyDescent="0.2">
      <c r="A334" t="s">
        <v>642</v>
      </c>
      <c r="B334" s="6" t="str">
        <f>HYPERLINK("[#]Feature_Schema_1!A46973:F46973","MEMORIAL_MONUMENT_C")</f>
        <v>MEMORIAL_MONUMENT_C</v>
      </c>
      <c r="F334" t="s">
        <v>643</v>
      </c>
      <c r="G334" t="s">
        <v>643</v>
      </c>
      <c r="H334">
        <v>100108</v>
      </c>
      <c r="I334" t="s">
        <v>644</v>
      </c>
    </row>
    <row r="335" spans="1:9" x14ac:dyDescent="0.2">
      <c r="A335" t="s">
        <v>642</v>
      </c>
      <c r="B335" s="6" t="str">
        <f>HYPERLINK("[#]Feature_Schema_1!A47091:F47091","MEMORIAL_MONUMENT_P")</f>
        <v>MEMORIAL_MONUMENT_P</v>
      </c>
      <c r="C335" t="s">
        <v>92</v>
      </c>
      <c r="D335" t="s">
        <v>92</v>
      </c>
      <c r="E335" t="s">
        <v>92</v>
      </c>
      <c r="F335" t="s">
        <v>92</v>
      </c>
      <c r="G335" t="s">
        <v>92</v>
      </c>
      <c r="H335">
        <v>100108</v>
      </c>
      <c r="I335" t="s">
        <v>645</v>
      </c>
    </row>
    <row r="336" spans="1:9" x14ac:dyDescent="0.2">
      <c r="A336" t="s">
        <v>642</v>
      </c>
      <c r="B336" s="6" t="str">
        <f>HYPERLINK("[#]Feature_Schema_1!A47209:F47209","MEMORIAL_MONUMENT_S")</f>
        <v>MEMORIAL_MONUMENT_S</v>
      </c>
      <c r="E336" t="s">
        <v>94</v>
      </c>
      <c r="F336" t="s">
        <v>94</v>
      </c>
      <c r="G336" t="s">
        <v>94</v>
      </c>
      <c r="H336">
        <v>100108</v>
      </c>
      <c r="I336" t="s">
        <v>646</v>
      </c>
    </row>
    <row r="337" spans="1:9" x14ac:dyDescent="0.2">
      <c r="A337" t="s">
        <v>647</v>
      </c>
      <c r="B337" s="6" t="str">
        <f>HYPERLINK("[#]Feature_Schema_1!A47327:F47327","MILITARY_BOUNDARY_C")</f>
        <v>MILITARY_BOUNDARY_C</v>
      </c>
      <c r="C337" t="s">
        <v>648</v>
      </c>
      <c r="D337" t="s">
        <v>648</v>
      </c>
      <c r="E337" t="s">
        <v>648</v>
      </c>
      <c r="F337" t="s">
        <v>648</v>
      </c>
      <c r="G337" t="s">
        <v>648</v>
      </c>
      <c r="H337">
        <v>102</v>
      </c>
      <c r="I337" t="s">
        <v>649</v>
      </c>
    </row>
    <row r="338" spans="1:9" x14ac:dyDescent="0.2">
      <c r="A338" t="s">
        <v>650</v>
      </c>
      <c r="B338" s="6" t="str">
        <f>HYPERLINK("[#]Feature_Schema_1!A47398:F47398","MILITARY_INSTALLATION_P")</f>
        <v>MILITARY_INSTALLATION_P</v>
      </c>
      <c r="C338" t="s">
        <v>208</v>
      </c>
      <c r="D338" t="s">
        <v>208</v>
      </c>
      <c r="E338" t="s">
        <v>208</v>
      </c>
      <c r="F338" t="s">
        <v>208</v>
      </c>
      <c r="G338" t="s">
        <v>208</v>
      </c>
      <c r="H338">
        <v>100462</v>
      </c>
      <c r="I338" t="s">
        <v>651</v>
      </c>
    </row>
    <row r="339" spans="1:9" x14ac:dyDescent="0.2">
      <c r="A339" t="s">
        <v>650</v>
      </c>
      <c r="B339" s="6" t="str">
        <f>HYPERLINK("[#]Feature_Schema_1!A47507:F47507","MILITARY_INSTALLATION_S")</f>
        <v>MILITARY_INSTALLATION_S</v>
      </c>
      <c r="C339" t="s">
        <v>201</v>
      </c>
      <c r="D339" t="s">
        <v>201</v>
      </c>
      <c r="E339" t="s">
        <v>201</v>
      </c>
      <c r="F339" t="s">
        <v>201</v>
      </c>
      <c r="G339" t="s">
        <v>201</v>
      </c>
      <c r="H339">
        <v>100462</v>
      </c>
      <c r="I339" t="s">
        <v>652</v>
      </c>
    </row>
    <row r="340" spans="1:9" x14ac:dyDescent="0.2">
      <c r="A340" t="s">
        <v>653</v>
      </c>
      <c r="B340" s="6" t="str">
        <f>HYPERLINK("[#]Feature_Schema_1!A47616:F47616","MINE_SHAFT_SUPERSTRUCTURE_P")</f>
        <v>MINE_SHAFT_SUPERSTRUCTURE_P</v>
      </c>
      <c r="C340" t="s">
        <v>131</v>
      </c>
      <c r="D340" t="s">
        <v>131</v>
      </c>
      <c r="E340" t="s">
        <v>131</v>
      </c>
      <c r="F340" t="s">
        <v>131</v>
      </c>
      <c r="G340" t="s">
        <v>131</v>
      </c>
      <c r="H340">
        <v>100003</v>
      </c>
      <c r="I340" t="s">
        <v>654</v>
      </c>
    </row>
    <row r="341" spans="1:9" x14ac:dyDescent="0.2">
      <c r="A341" t="s">
        <v>653</v>
      </c>
      <c r="B341" s="6" t="str">
        <f>HYPERLINK("[#]Feature_Schema_1!A47732:F47732","MINE_SHAFT_SUPERSTRUCTURE_S")</f>
        <v>MINE_SHAFT_SUPERSTRUCTURE_S</v>
      </c>
      <c r="F341" t="s">
        <v>17</v>
      </c>
      <c r="G341" t="s">
        <v>17</v>
      </c>
      <c r="H341">
        <v>100003</v>
      </c>
      <c r="I341" t="s">
        <v>655</v>
      </c>
    </row>
    <row r="342" spans="1:9" x14ac:dyDescent="0.2">
      <c r="A342" t="s">
        <v>656</v>
      </c>
      <c r="B342" s="6" t="str">
        <f>HYPERLINK("[#]Feature_Schema_1!A47848:F47848","MINEFIELD_S")</f>
        <v>MINEFIELD_S</v>
      </c>
      <c r="E342" t="s">
        <v>201</v>
      </c>
      <c r="F342" t="s">
        <v>201</v>
      </c>
      <c r="G342" t="s">
        <v>201</v>
      </c>
      <c r="H342">
        <v>100097</v>
      </c>
      <c r="I342" t="s">
        <v>657</v>
      </c>
    </row>
    <row r="343" spans="1:9" x14ac:dyDescent="0.2">
      <c r="A343" t="s">
        <v>658</v>
      </c>
      <c r="B343" s="6" t="str">
        <f>HYPERLINK("[#]Feature_Schema_1!A47890:F47890","MINERAL_PILE_P")</f>
        <v>MINERAL_PILE_P</v>
      </c>
      <c r="C343" t="s">
        <v>131</v>
      </c>
      <c r="D343" t="s">
        <v>131</v>
      </c>
      <c r="E343" t="s">
        <v>131</v>
      </c>
      <c r="F343" t="s">
        <v>131</v>
      </c>
      <c r="G343" t="s">
        <v>131</v>
      </c>
      <c r="H343">
        <v>100136</v>
      </c>
      <c r="I343" t="s">
        <v>659</v>
      </c>
    </row>
    <row r="344" spans="1:9" x14ac:dyDescent="0.2">
      <c r="A344" t="s">
        <v>658</v>
      </c>
      <c r="B344" s="6" t="str">
        <f>HYPERLINK("[#]Feature_Schema_1!A47980:F47980","MINERAL_PILE_S")</f>
        <v>MINERAL_PILE_S</v>
      </c>
      <c r="E344" t="s">
        <v>17</v>
      </c>
      <c r="F344" t="s">
        <v>17</v>
      </c>
      <c r="G344" t="s">
        <v>17</v>
      </c>
      <c r="H344">
        <v>100136</v>
      </c>
      <c r="I344" t="s">
        <v>660</v>
      </c>
    </row>
    <row r="345" spans="1:9" x14ac:dyDescent="0.2">
      <c r="A345" t="s">
        <v>661</v>
      </c>
      <c r="B345" s="6" t="str">
        <f>HYPERLINK("[#]Feature_Schema_1!A48070:F48070","MISSILE_SITE_P")</f>
        <v>MISSILE_SITE_P</v>
      </c>
      <c r="D345" t="s">
        <v>208</v>
      </c>
      <c r="E345" t="s">
        <v>208</v>
      </c>
      <c r="F345" t="s">
        <v>208</v>
      </c>
      <c r="G345" t="s">
        <v>208</v>
      </c>
      <c r="H345">
        <v>100106</v>
      </c>
      <c r="I345" t="s">
        <v>662</v>
      </c>
    </row>
    <row r="346" spans="1:9" x14ac:dyDescent="0.2">
      <c r="A346" t="s">
        <v>661</v>
      </c>
      <c r="B346" s="6" t="str">
        <f>HYPERLINK("[#]Feature_Schema_1!A48274:F48274","MISSILE_SITE_S")</f>
        <v>MISSILE_SITE_S</v>
      </c>
      <c r="D346" t="s">
        <v>201</v>
      </c>
      <c r="E346" t="s">
        <v>201</v>
      </c>
      <c r="F346" t="s">
        <v>201</v>
      </c>
      <c r="G346" t="s">
        <v>201</v>
      </c>
      <c r="H346">
        <v>100106</v>
      </c>
      <c r="I346" t="s">
        <v>663</v>
      </c>
    </row>
    <row r="347" spans="1:9" x14ac:dyDescent="0.2">
      <c r="A347" t="s">
        <v>664</v>
      </c>
      <c r="B347" s="6" t="str">
        <f>HYPERLINK("[#]Feature_Schema_1!A48478:F48478","MOAT_C")</f>
        <v>MOAT_C</v>
      </c>
      <c r="E347" t="s">
        <v>79</v>
      </c>
      <c r="F347" t="s">
        <v>79</v>
      </c>
      <c r="G347" t="s">
        <v>79</v>
      </c>
      <c r="H347">
        <v>100309</v>
      </c>
      <c r="I347" t="s">
        <v>665</v>
      </c>
    </row>
    <row r="348" spans="1:9" x14ac:dyDescent="0.2">
      <c r="A348" t="s">
        <v>664</v>
      </c>
      <c r="B348" s="6" t="str">
        <f>HYPERLINK("[#]Feature_Schema_1!A48569:F48569","MOAT_S")</f>
        <v>MOAT_S</v>
      </c>
      <c r="E348" t="s">
        <v>81</v>
      </c>
      <c r="F348" t="s">
        <v>81</v>
      </c>
      <c r="G348" t="s">
        <v>81</v>
      </c>
      <c r="H348">
        <v>100309</v>
      </c>
      <c r="I348" t="s">
        <v>666</v>
      </c>
    </row>
    <row r="349" spans="1:9" x14ac:dyDescent="0.2">
      <c r="A349" t="s">
        <v>667</v>
      </c>
      <c r="B349" s="6" t="str">
        <f>HYPERLINK("[#]Feature_Schema_1!A48660:F48660","MOORING_MAST_P")</f>
        <v>MOORING_MAST_P</v>
      </c>
      <c r="C349" t="s">
        <v>32</v>
      </c>
      <c r="D349" t="s">
        <v>32</v>
      </c>
      <c r="E349" t="s">
        <v>32</v>
      </c>
      <c r="F349" t="s">
        <v>32</v>
      </c>
      <c r="G349" t="s">
        <v>32</v>
      </c>
      <c r="H349">
        <v>100177</v>
      </c>
      <c r="I349" t="s">
        <v>668</v>
      </c>
    </row>
    <row r="350" spans="1:9" x14ac:dyDescent="0.2">
      <c r="A350" t="s">
        <v>669</v>
      </c>
      <c r="B350" s="6" t="str">
        <f>HYPERLINK("[#]Feature_Schema_1!A48747:F48747","MORAINE_S")</f>
        <v>MORAINE_S</v>
      </c>
      <c r="C350" t="s">
        <v>97</v>
      </c>
      <c r="D350" t="s">
        <v>97</v>
      </c>
      <c r="E350" t="s">
        <v>97</v>
      </c>
      <c r="F350" t="s">
        <v>97</v>
      </c>
      <c r="G350" t="s">
        <v>97</v>
      </c>
      <c r="H350">
        <v>100340</v>
      </c>
      <c r="I350" t="s">
        <v>670</v>
      </c>
    </row>
    <row r="351" spans="1:9" x14ac:dyDescent="0.2">
      <c r="A351" t="s">
        <v>671</v>
      </c>
      <c r="B351" s="6" t="str">
        <f>HYPERLINK("[#]Feature_Schema_1!A48784:F48784","MOTOR_VEHICLE_STATION_P")</f>
        <v>MOTOR_VEHICLE_STATION_P</v>
      </c>
      <c r="C351" t="s">
        <v>149</v>
      </c>
      <c r="D351" t="s">
        <v>149</v>
      </c>
      <c r="E351" t="s">
        <v>149</v>
      </c>
      <c r="F351" t="s">
        <v>149</v>
      </c>
      <c r="G351" t="s">
        <v>149</v>
      </c>
      <c r="H351">
        <v>100197</v>
      </c>
      <c r="I351" t="s">
        <v>672</v>
      </c>
    </row>
    <row r="352" spans="1:9" x14ac:dyDescent="0.2">
      <c r="A352" t="s">
        <v>671</v>
      </c>
      <c r="B352" s="6" t="str">
        <f>HYPERLINK("[#]Feature_Schema_1!A48914:F48914","MOTOR_VEHICLE_STATION_S")</f>
        <v>MOTOR_VEHICLE_STATION_S</v>
      </c>
      <c r="D352" t="s">
        <v>89</v>
      </c>
      <c r="E352" t="s">
        <v>89</v>
      </c>
      <c r="F352" t="s">
        <v>89</v>
      </c>
      <c r="G352" t="s">
        <v>89</v>
      </c>
      <c r="H352">
        <v>100197</v>
      </c>
      <c r="I352" t="s">
        <v>673</v>
      </c>
    </row>
    <row r="353" spans="1:11" x14ac:dyDescent="0.2">
      <c r="A353" t="s">
        <v>674</v>
      </c>
      <c r="B353" s="6" t="str">
        <f>HYPERLINK("[#]Feature_Schema_1!A49044:F49044","MOUNTAIN_PASS_P")</f>
        <v>MOUNTAIN_PASS_P</v>
      </c>
      <c r="C353" t="s">
        <v>223</v>
      </c>
      <c r="D353" t="s">
        <v>223</v>
      </c>
      <c r="E353" t="s">
        <v>223</v>
      </c>
      <c r="F353" t="s">
        <v>223</v>
      </c>
      <c r="G353" t="s">
        <v>223</v>
      </c>
      <c r="H353">
        <v>100372</v>
      </c>
      <c r="I353" t="s">
        <v>675</v>
      </c>
    </row>
    <row r="354" spans="1:11" x14ac:dyDescent="0.2">
      <c r="A354" t="s">
        <v>676</v>
      </c>
      <c r="B354" s="6" t="str">
        <f>HYPERLINK("[#]Feature_Schema_1!A49083:F49083","MUNITION_STORAGE_FACILITY_P")</f>
        <v>MUNITION_STORAGE_FACILITY_P</v>
      </c>
      <c r="C354" t="s">
        <v>440</v>
      </c>
      <c r="D354" t="s">
        <v>440</v>
      </c>
      <c r="E354" t="s">
        <v>440</v>
      </c>
      <c r="F354" t="s">
        <v>440</v>
      </c>
      <c r="G354" t="s">
        <v>440</v>
      </c>
      <c r="H354">
        <v>100138</v>
      </c>
      <c r="I354" t="s">
        <v>677</v>
      </c>
    </row>
    <row r="355" spans="1:11" x14ac:dyDescent="0.2">
      <c r="A355" t="s">
        <v>676</v>
      </c>
      <c r="B355" s="6" t="str">
        <f>HYPERLINK("[#]Feature_Schema_1!A49152:F49152","MUNITION_STORAGE_FACILITY_S")</f>
        <v>MUNITION_STORAGE_FACILITY_S</v>
      </c>
      <c r="C355" t="s">
        <v>442</v>
      </c>
      <c r="D355" t="s">
        <v>442</v>
      </c>
      <c r="E355" t="s">
        <v>442</v>
      </c>
      <c r="F355" t="s">
        <v>442</v>
      </c>
      <c r="G355" t="s">
        <v>442</v>
      </c>
      <c r="H355">
        <v>100138</v>
      </c>
      <c r="I355" t="s">
        <v>678</v>
      </c>
    </row>
    <row r="356" spans="1:11" x14ac:dyDescent="0.2">
      <c r="A356" t="s">
        <v>679</v>
      </c>
      <c r="B356" s="6" t="str">
        <f>HYPERLINK("[#]Feature_Schema_1!A49221:F49221","NAMED_LOCATION_C")</f>
        <v>NAMED_LOCATION_C</v>
      </c>
      <c r="C356" t="s">
        <v>680</v>
      </c>
      <c r="D356" t="s">
        <v>680</v>
      </c>
      <c r="E356" t="s">
        <v>680</v>
      </c>
      <c r="F356" t="s">
        <v>680</v>
      </c>
      <c r="G356" t="s">
        <v>680</v>
      </c>
      <c r="H356">
        <v>100475</v>
      </c>
      <c r="I356" t="s">
        <v>681</v>
      </c>
    </row>
    <row r="357" spans="1:11" x14ac:dyDescent="0.2">
      <c r="A357" t="s">
        <v>679</v>
      </c>
      <c r="B357" s="6" t="str">
        <f>HYPERLINK("[#]Feature_Schema_1!A49278:F49278","NAMED_LOCATION_P")</f>
        <v>NAMED_LOCATION_P</v>
      </c>
      <c r="C357" t="s">
        <v>59</v>
      </c>
      <c r="D357" t="s">
        <v>59</v>
      </c>
      <c r="E357" t="s">
        <v>59</v>
      </c>
      <c r="F357" t="s">
        <v>59</v>
      </c>
      <c r="G357" t="s">
        <v>59</v>
      </c>
      <c r="H357">
        <v>100475</v>
      </c>
      <c r="I357" t="s">
        <v>682</v>
      </c>
    </row>
    <row r="358" spans="1:11" x14ac:dyDescent="0.2">
      <c r="A358" t="s">
        <v>679</v>
      </c>
      <c r="B358" s="6" t="str">
        <f>HYPERLINK("[#]Feature_Schema_1!A49335:F49335","NAMED_LOCATION_S")</f>
        <v>NAMED_LOCATION_S</v>
      </c>
      <c r="C358" t="s">
        <v>598</v>
      </c>
      <c r="D358" t="s">
        <v>598</v>
      </c>
      <c r="E358" t="s">
        <v>598</v>
      </c>
      <c r="F358" t="s">
        <v>598</v>
      </c>
      <c r="G358" t="s">
        <v>598</v>
      </c>
      <c r="H358">
        <v>100475</v>
      </c>
      <c r="I358" t="s">
        <v>683</v>
      </c>
    </row>
    <row r="359" spans="1:11" x14ac:dyDescent="0.2">
      <c r="A359" t="s">
        <v>684</v>
      </c>
      <c r="B359" s="6" t="str">
        <f>HYPERLINK("[#]Feature_Schema_1!A49392:F49392","NATURAL_POOL_AON_S")</f>
        <v>NATURAL_POOL_AON_S</v>
      </c>
      <c r="E359" t="s">
        <v>76</v>
      </c>
      <c r="G359" t="s">
        <v>76</v>
      </c>
      <c r="H359">
        <v>205</v>
      </c>
      <c r="I359" t="s">
        <v>685</v>
      </c>
    </row>
    <row r="360" spans="1:11" x14ac:dyDescent="0.2">
      <c r="A360" t="s">
        <v>686</v>
      </c>
      <c r="B360" s="6" t="str">
        <f>HYPERLINK("[#]Feature_Schema_1!A49557:F49557","NATURAL_POOL_P")</f>
        <v>NATURAL_POOL_P</v>
      </c>
      <c r="C360" t="s">
        <v>233</v>
      </c>
      <c r="D360" t="s">
        <v>233</v>
      </c>
      <c r="E360" t="s">
        <v>233</v>
      </c>
      <c r="F360" t="s">
        <v>233</v>
      </c>
      <c r="G360" t="s">
        <v>233</v>
      </c>
      <c r="H360">
        <v>100320</v>
      </c>
      <c r="I360" t="s">
        <v>687</v>
      </c>
    </row>
    <row r="361" spans="1:11" x14ac:dyDescent="0.2">
      <c r="A361" t="s">
        <v>686</v>
      </c>
      <c r="B361" s="6" t="str">
        <f>HYPERLINK("[#]Feature_Schema_1!A49811:F49811","NATURAL_POOL_S")</f>
        <v>NATURAL_POOL_S</v>
      </c>
      <c r="F361" t="s">
        <v>81</v>
      </c>
      <c r="G361" t="s">
        <v>81</v>
      </c>
      <c r="H361">
        <v>100320</v>
      </c>
      <c r="I361" t="s">
        <v>688</v>
      </c>
    </row>
    <row r="362" spans="1:11" x14ac:dyDescent="0.2">
      <c r="A362" t="s">
        <v>689</v>
      </c>
      <c r="B362" s="7" t="str">
        <f>HYPERLINK("[#]Feature_Schema_1!A50065:F50065","NAUTICAL_GRIDIRON_S")</f>
        <v>NAUTICAL_GRIDIRON_S</v>
      </c>
      <c r="E362" t="s">
        <v>54</v>
      </c>
      <c r="F362" t="s">
        <v>54</v>
      </c>
      <c r="G362" t="s">
        <v>54</v>
      </c>
      <c r="H362">
        <v>100237</v>
      </c>
      <c r="I362" t="s">
        <v>690</v>
      </c>
      <c r="K362" t="s">
        <v>1146</v>
      </c>
    </row>
    <row r="363" spans="1:11" x14ac:dyDescent="0.2">
      <c r="A363" t="s">
        <v>691</v>
      </c>
      <c r="B363" s="7" t="str">
        <f>HYPERLINK("[#]Feature_Schema_1!A50154:F50154","NAVIGABLE_CANAL_AON_S")</f>
        <v>NAVIGABLE_CANAL_AON_S</v>
      </c>
      <c r="E363" t="s">
        <v>692</v>
      </c>
      <c r="G363" t="s">
        <v>692</v>
      </c>
      <c r="H363">
        <v>201</v>
      </c>
      <c r="I363" t="s">
        <v>693</v>
      </c>
      <c r="K363" t="s">
        <v>1142</v>
      </c>
    </row>
    <row r="364" spans="1:11" x14ac:dyDescent="0.2">
      <c r="A364" t="s">
        <v>694</v>
      </c>
      <c r="B364" s="7" t="str">
        <f>HYPERLINK("[#]Feature_Schema_1!A50621:F50621","NAVIGABLE_CANAL_C")</f>
        <v>NAVIGABLE_CANAL_C</v>
      </c>
      <c r="C364" t="s">
        <v>110</v>
      </c>
      <c r="D364" t="s">
        <v>110</v>
      </c>
      <c r="E364" t="s">
        <v>110</v>
      </c>
      <c r="F364" t="s">
        <v>110</v>
      </c>
      <c r="G364" t="s">
        <v>110</v>
      </c>
      <c r="H364">
        <v>100297</v>
      </c>
      <c r="I364" t="s">
        <v>695</v>
      </c>
      <c r="K364" t="s">
        <v>1143</v>
      </c>
    </row>
    <row r="365" spans="1:11" x14ac:dyDescent="0.2">
      <c r="A365" t="s">
        <v>694</v>
      </c>
      <c r="B365" s="7" t="str">
        <f>HYPERLINK("[#]Feature_Schema_1!A51090:F51090","NAVIGABLE_CANAL_S")</f>
        <v>NAVIGABLE_CANAL_S</v>
      </c>
      <c r="D365" t="s">
        <v>392</v>
      </c>
      <c r="E365" t="s">
        <v>392</v>
      </c>
      <c r="F365" t="s">
        <v>392</v>
      </c>
      <c r="G365" t="s">
        <v>392</v>
      </c>
      <c r="H365">
        <v>100297</v>
      </c>
      <c r="I365" t="s">
        <v>696</v>
      </c>
      <c r="K365" t="s">
        <v>1144</v>
      </c>
    </row>
    <row r="366" spans="1:11" x14ac:dyDescent="0.2">
      <c r="A366" t="s">
        <v>697</v>
      </c>
      <c r="B366" s="7" t="str">
        <f>HYPERLINK("[#]Feature_Schema_1!A51559:F51559","NEIGHBOURHOOD_S")</f>
        <v>NEIGHBOURHOOD_S</v>
      </c>
      <c r="E366" t="s">
        <v>698</v>
      </c>
      <c r="F366" t="s">
        <v>698</v>
      </c>
      <c r="G366" t="s">
        <v>698</v>
      </c>
      <c r="H366">
        <v>191547</v>
      </c>
      <c r="I366" t="s">
        <v>699</v>
      </c>
      <c r="K366" t="s">
        <v>1141</v>
      </c>
    </row>
    <row r="367" spans="1:11" x14ac:dyDescent="0.2">
      <c r="A367" t="s">
        <v>700</v>
      </c>
      <c r="B367" s="6" t="str">
        <f>HYPERLINK("[#]Feature_Schema_1!A51624:F51624","NON_BUILDING_STRUCTURE_P")</f>
        <v>NON_BUILDING_STRUCTURE_P</v>
      </c>
      <c r="C367" t="s">
        <v>100</v>
      </c>
      <c r="D367" t="s">
        <v>100</v>
      </c>
      <c r="E367" t="s">
        <v>100</v>
      </c>
      <c r="F367" t="s">
        <v>100</v>
      </c>
      <c r="G367" t="s">
        <v>100</v>
      </c>
      <c r="H367">
        <v>100084</v>
      </c>
      <c r="I367" t="s">
        <v>701</v>
      </c>
    </row>
    <row r="368" spans="1:11" x14ac:dyDescent="0.2">
      <c r="A368" t="s">
        <v>700</v>
      </c>
      <c r="B368" s="6" t="str">
        <f>HYPERLINK("[#]Feature_Schema_1!A52110:F52110","NON_BUILDING_STRUCTURE_S")</f>
        <v>NON_BUILDING_STRUCTURE_S</v>
      </c>
      <c r="C368" t="s">
        <v>102</v>
      </c>
      <c r="D368" t="s">
        <v>102</v>
      </c>
      <c r="E368" t="s">
        <v>102</v>
      </c>
      <c r="F368" t="s">
        <v>102</v>
      </c>
      <c r="G368" t="s">
        <v>102</v>
      </c>
      <c r="H368">
        <v>100084</v>
      </c>
      <c r="I368" t="s">
        <v>702</v>
      </c>
    </row>
    <row r="369" spans="1:9" x14ac:dyDescent="0.2">
      <c r="A369" t="s">
        <v>703</v>
      </c>
      <c r="B369" s="6" t="str">
        <f>HYPERLINK("[#]Feature_Schema_1!A52596:F52596","NON_WATER_WELL_P")</f>
        <v>NON_WATER_WELL_P</v>
      </c>
      <c r="C369" t="s">
        <v>131</v>
      </c>
      <c r="D369" t="s">
        <v>131</v>
      </c>
      <c r="E369" t="s">
        <v>131</v>
      </c>
      <c r="F369" t="s">
        <v>131</v>
      </c>
      <c r="G369" t="s">
        <v>131</v>
      </c>
      <c r="H369">
        <v>155023</v>
      </c>
      <c r="I369" t="s">
        <v>704</v>
      </c>
    </row>
    <row r="370" spans="1:9" x14ac:dyDescent="0.2">
      <c r="A370" t="s">
        <v>705</v>
      </c>
      <c r="B370" s="6" t="str">
        <f>HYPERLINK("[#]Feature_Schema_1!A52728:F52728","NUCLEAR_REACTOR_CONTAINMENT_P")</f>
        <v>NUCLEAR_REACTOR_CONTAINMENT_P</v>
      </c>
      <c r="C370" t="s">
        <v>20</v>
      </c>
      <c r="D370" t="s">
        <v>20</v>
      </c>
      <c r="E370" t="s">
        <v>20</v>
      </c>
      <c r="F370" t="s">
        <v>20</v>
      </c>
      <c r="G370" t="s">
        <v>20</v>
      </c>
      <c r="H370">
        <v>100022</v>
      </c>
      <c r="I370" t="s">
        <v>706</v>
      </c>
    </row>
    <row r="371" spans="1:9" x14ac:dyDescent="0.2">
      <c r="A371" t="s">
        <v>705</v>
      </c>
      <c r="B371" s="6" t="str">
        <f>HYPERLINK("[#]Feature_Schema_1!A52847:F52847","NUCLEAR_REACTOR_CONTAINMENT_S")</f>
        <v>NUCLEAR_REACTOR_CONTAINMENT_S</v>
      </c>
      <c r="C371" t="s">
        <v>22</v>
      </c>
      <c r="D371" t="s">
        <v>22</v>
      </c>
      <c r="E371" t="s">
        <v>22</v>
      </c>
      <c r="F371" t="s">
        <v>22</v>
      </c>
      <c r="G371" t="s">
        <v>22</v>
      </c>
      <c r="H371">
        <v>100022</v>
      </c>
      <c r="I371" t="s">
        <v>707</v>
      </c>
    </row>
    <row r="372" spans="1:9" x14ac:dyDescent="0.2">
      <c r="A372" t="s">
        <v>708</v>
      </c>
      <c r="B372" s="6" t="str">
        <f>HYPERLINK("[#]Feature_Schema_1!A52966:F52966","OASIS_P")</f>
        <v>OASIS_P</v>
      </c>
      <c r="C372" t="s">
        <v>223</v>
      </c>
      <c r="D372" t="s">
        <v>223</v>
      </c>
      <c r="E372" t="s">
        <v>223</v>
      </c>
      <c r="F372" t="s">
        <v>223</v>
      </c>
      <c r="G372" t="s">
        <v>223</v>
      </c>
      <c r="H372">
        <v>100394</v>
      </c>
      <c r="I372" t="s">
        <v>709</v>
      </c>
    </row>
    <row r="373" spans="1:9" x14ac:dyDescent="0.2">
      <c r="A373" t="s">
        <v>708</v>
      </c>
      <c r="B373" s="6" t="str">
        <f>HYPERLINK("[#]Feature_Schema_1!A53012:F53012","OASIS_S")</f>
        <v>OASIS_S</v>
      </c>
      <c r="C373" t="s">
        <v>97</v>
      </c>
      <c r="D373" t="s">
        <v>97</v>
      </c>
      <c r="E373" t="s">
        <v>97</v>
      </c>
      <c r="F373" t="s">
        <v>97</v>
      </c>
      <c r="G373" t="s">
        <v>97</v>
      </c>
      <c r="H373">
        <v>100394</v>
      </c>
      <c r="I373" t="s">
        <v>710</v>
      </c>
    </row>
    <row r="374" spans="1:9" x14ac:dyDescent="0.2">
      <c r="A374" t="s">
        <v>711</v>
      </c>
      <c r="B374" s="6" t="str">
        <f>HYPERLINK("[#]Feature_Schema_1!A53058:F53058","OFFICE_PARK_S")</f>
        <v>OFFICE_PARK_S</v>
      </c>
      <c r="E374" t="s">
        <v>380</v>
      </c>
      <c r="F374" t="s">
        <v>380</v>
      </c>
      <c r="G374" t="s">
        <v>380</v>
      </c>
      <c r="H374">
        <v>100035</v>
      </c>
      <c r="I374" t="s">
        <v>712</v>
      </c>
    </row>
    <row r="375" spans="1:9" x14ac:dyDescent="0.2">
      <c r="A375" t="s">
        <v>713</v>
      </c>
      <c r="B375" s="6" t="str">
        <f>HYPERLINK("[#]Feature_Schema_1!A53793:F53793","OFFSHORE_CONSTRUCTION_P")</f>
        <v>OFFSHORE_CONSTRUCTION_P</v>
      </c>
      <c r="C375" t="s">
        <v>233</v>
      </c>
      <c r="D375" t="s">
        <v>233</v>
      </c>
      <c r="E375" t="s">
        <v>233</v>
      </c>
      <c r="F375" t="s">
        <v>233</v>
      </c>
      <c r="G375" t="s">
        <v>233</v>
      </c>
      <c r="H375">
        <v>100272</v>
      </c>
      <c r="I375" t="s">
        <v>714</v>
      </c>
    </row>
    <row r="376" spans="1:9" x14ac:dyDescent="0.2">
      <c r="A376" t="s">
        <v>713</v>
      </c>
      <c r="B376" s="6" t="str">
        <f>HYPERLINK("[#]Feature_Schema_1!A53954:F53954","OFFSHORE_CONSTRUCTION_S")</f>
        <v>OFFSHORE_CONSTRUCTION_S</v>
      </c>
      <c r="E376" t="s">
        <v>81</v>
      </c>
      <c r="F376" t="s">
        <v>81</v>
      </c>
      <c r="G376" t="s">
        <v>81</v>
      </c>
      <c r="H376">
        <v>100272</v>
      </c>
      <c r="I376" t="s">
        <v>715</v>
      </c>
    </row>
    <row r="377" spans="1:9" x14ac:dyDescent="0.2">
      <c r="A377" t="s">
        <v>716</v>
      </c>
      <c r="B377" s="6" t="str">
        <f>HYPERLINK("[#]Feature_Schema_1!A54115:F54115","ORCHARD_P")</f>
        <v>ORCHARD_P</v>
      </c>
      <c r="C377" t="s">
        <v>717</v>
      </c>
      <c r="D377" t="s">
        <v>717</v>
      </c>
      <c r="G377" t="s">
        <v>717</v>
      </c>
      <c r="H377">
        <v>100384</v>
      </c>
      <c r="I377" t="s">
        <v>718</v>
      </c>
    </row>
    <row r="378" spans="1:9" x14ac:dyDescent="0.2">
      <c r="A378" t="s">
        <v>716</v>
      </c>
      <c r="B378" s="6" t="str">
        <f>HYPERLINK("[#]Feature_Schema_1!A54278:F54278","ORCHARD_S")</f>
        <v>ORCHARD_S</v>
      </c>
      <c r="C378" t="s">
        <v>107</v>
      </c>
      <c r="D378" t="s">
        <v>107</v>
      </c>
      <c r="E378" t="s">
        <v>107</v>
      </c>
      <c r="F378" t="s">
        <v>107</v>
      </c>
      <c r="G378" t="s">
        <v>107</v>
      </c>
      <c r="H378">
        <v>100384</v>
      </c>
      <c r="I378" t="s">
        <v>719</v>
      </c>
    </row>
    <row r="379" spans="1:9" x14ac:dyDescent="0.2">
      <c r="A379" t="s">
        <v>720</v>
      </c>
      <c r="B379" s="6" t="str">
        <f>HYPERLINK("[#]Feature_Schema_1!A54441:F54441","OUTDOOR_THEATRE_SCREEN_C")</f>
        <v>OUTDOOR_THEATRE_SCREEN_C</v>
      </c>
      <c r="F379" t="s">
        <v>42</v>
      </c>
      <c r="G379" t="s">
        <v>42</v>
      </c>
      <c r="H379">
        <v>100060</v>
      </c>
      <c r="I379" t="s">
        <v>721</v>
      </c>
    </row>
    <row r="380" spans="1:9" x14ac:dyDescent="0.2">
      <c r="A380" t="s">
        <v>720</v>
      </c>
      <c r="B380" s="6" t="str">
        <f>HYPERLINK("[#]Feature_Schema_1!A54511:F54511","OUTDOOR_THEATRE_SCREEN_P")</f>
        <v>OUTDOOR_THEATRE_SCREEN_P</v>
      </c>
      <c r="C380" t="s">
        <v>37</v>
      </c>
      <c r="D380" t="s">
        <v>37</v>
      </c>
      <c r="E380" t="s">
        <v>37</v>
      </c>
      <c r="F380" t="s">
        <v>37</v>
      </c>
      <c r="G380" t="s">
        <v>37</v>
      </c>
      <c r="H380">
        <v>100060</v>
      </c>
      <c r="I380" t="s">
        <v>722</v>
      </c>
    </row>
    <row r="381" spans="1:9" x14ac:dyDescent="0.2">
      <c r="A381" t="s">
        <v>723</v>
      </c>
      <c r="B381" s="6" t="str">
        <f>HYPERLINK("[#]Feature_Schema_1!A54581:F54581","OVERHEAD_OBSTRUCTION_C")</f>
        <v>OVERHEAD_OBSTRUCTION_C</v>
      </c>
      <c r="F381" t="s">
        <v>87</v>
      </c>
      <c r="G381" t="s">
        <v>87</v>
      </c>
      <c r="H381">
        <v>100112</v>
      </c>
      <c r="I381" t="s">
        <v>724</v>
      </c>
    </row>
    <row r="382" spans="1:9" x14ac:dyDescent="0.2">
      <c r="A382" t="s">
        <v>723</v>
      </c>
      <c r="B382" s="6" t="str">
        <f>HYPERLINK("[#]Feature_Schema_1!A54682:F54682","OVERHEAD_OBSTRUCTION_P")</f>
        <v>OVERHEAD_OBSTRUCTION_P</v>
      </c>
      <c r="F382" t="s">
        <v>149</v>
      </c>
      <c r="G382" t="s">
        <v>149</v>
      </c>
      <c r="H382">
        <v>100112</v>
      </c>
      <c r="I382" t="s">
        <v>725</v>
      </c>
    </row>
    <row r="383" spans="1:9" x14ac:dyDescent="0.2">
      <c r="A383" t="s">
        <v>726</v>
      </c>
      <c r="B383" s="6" t="str">
        <f>HYPERLINK("[#]Feature_Schema_1!A54783:F54783","PACK_ICE_C")</f>
        <v>PACK_ICE_C</v>
      </c>
      <c r="C383" t="s">
        <v>118</v>
      </c>
      <c r="D383" t="s">
        <v>118</v>
      </c>
      <c r="E383" t="s">
        <v>118</v>
      </c>
      <c r="F383" t="s">
        <v>118</v>
      </c>
      <c r="G383" t="s">
        <v>118</v>
      </c>
      <c r="H383">
        <v>100346</v>
      </c>
      <c r="I383" t="s">
        <v>727</v>
      </c>
    </row>
    <row r="384" spans="1:9" x14ac:dyDescent="0.2">
      <c r="A384" t="s">
        <v>726</v>
      </c>
      <c r="B384" s="6" t="str">
        <f>HYPERLINK("[#]Feature_Schema_1!A54818:F54818","PACK_ICE_S")</f>
        <v>PACK_ICE_S</v>
      </c>
      <c r="C384" t="s">
        <v>121</v>
      </c>
      <c r="D384" t="s">
        <v>121</v>
      </c>
      <c r="E384" t="s">
        <v>121</v>
      </c>
      <c r="F384" t="s">
        <v>121</v>
      </c>
      <c r="G384" t="s">
        <v>121</v>
      </c>
      <c r="H384">
        <v>100346</v>
      </c>
      <c r="I384" t="s">
        <v>728</v>
      </c>
    </row>
    <row r="385" spans="1:9" x14ac:dyDescent="0.2">
      <c r="A385" t="s">
        <v>729</v>
      </c>
      <c r="B385" s="6" t="str">
        <f>HYPERLINK("[#]Feature_Schema_1!A54853:F54853","PARK_S")</f>
        <v>PARK_S</v>
      </c>
      <c r="C385" t="s">
        <v>94</v>
      </c>
      <c r="D385" t="s">
        <v>94</v>
      </c>
      <c r="E385" t="s">
        <v>94</v>
      </c>
      <c r="F385" t="s">
        <v>94</v>
      </c>
      <c r="G385" t="s">
        <v>94</v>
      </c>
      <c r="H385">
        <v>100065</v>
      </c>
      <c r="I385" t="s">
        <v>730</v>
      </c>
    </row>
    <row r="386" spans="1:9" x14ac:dyDescent="0.2">
      <c r="A386" t="s">
        <v>731</v>
      </c>
      <c r="B386" s="6" t="str">
        <f>HYPERLINK("[#]Feature_Schema_1!A54929:F54929","PARKING_GARAGE_P")</f>
        <v>PARKING_GARAGE_P</v>
      </c>
      <c r="C386" t="s">
        <v>149</v>
      </c>
      <c r="D386" t="s">
        <v>149</v>
      </c>
      <c r="E386" t="s">
        <v>149</v>
      </c>
      <c r="F386" t="s">
        <v>149</v>
      </c>
      <c r="G386" t="s">
        <v>149</v>
      </c>
      <c r="H386">
        <v>100190</v>
      </c>
      <c r="I386" t="s">
        <v>732</v>
      </c>
    </row>
    <row r="387" spans="1:9" x14ac:dyDescent="0.2">
      <c r="A387" t="s">
        <v>731</v>
      </c>
      <c r="B387" s="6" t="str">
        <f>HYPERLINK("[#]Feature_Schema_1!A55077:F55077","PARKING_GARAGE_S")</f>
        <v>PARKING_GARAGE_S</v>
      </c>
      <c r="D387" t="s">
        <v>89</v>
      </c>
      <c r="E387" t="s">
        <v>89</v>
      </c>
      <c r="F387" t="s">
        <v>89</v>
      </c>
      <c r="G387" t="s">
        <v>89</v>
      </c>
      <c r="H387">
        <v>100190</v>
      </c>
      <c r="I387" t="s">
        <v>733</v>
      </c>
    </row>
    <row r="388" spans="1:9" x14ac:dyDescent="0.2">
      <c r="A388" t="s">
        <v>734</v>
      </c>
      <c r="B388" s="6" t="str">
        <f>HYPERLINK("[#]Feature_Schema_1!A55225:F55225","PARTICLE_ACCELERATOR_C")</f>
        <v>PARTICLE_ACCELERATOR_C</v>
      </c>
      <c r="C388" t="s">
        <v>171</v>
      </c>
      <c r="D388" t="s">
        <v>171</v>
      </c>
      <c r="E388" t="s">
        <v>171</v>
      </c>
      <c r="F388" t="s">
        <v>171</v>
      </c>
      <c r="G388" t="s">
        <v>171</v>
      </c>
      <c r="H388">
        <v>100110</v>
      </c>
      <c r="I388" t="s">
        <v>735</v>
      </c>
    </row>
    <row r="389" spans="1:9" x14ac:dyDescent="0.2">
      <c r="A389" t="s">
        <v>734</v>
      </c>
      <c r="B389" s="6" t="str">
        <f>HYPERLINK("[#]Feature_Schema_1!A55280:F55280","PARTICLE_ACCELERATOR_P")</f>
        <v>PARTICLE_ACCELERATOR_P</v>
      </c>
      <c r="C389" t="s">
        <v>736</v>
      </c>
      <c r="D389" t="s">
        <v>736</v>
      </c>
      <c r="G389" t="s">
        <v>736</v>
      </c>
      <c r="H389">
        <v>100110</v>
      </c>
      <c r="I389" t="s">
        <v>737</v>
      </c>
    </row>
    <row r="390" spans="1:9" x14ac:dyDescent="0.2">
      <c r="A390" t="s">
        <v>734</v>
      </c>
      <c r="B390" s="6" t="str">
        <f>HYPERLINK("[#]Feature_Schema_1!A55335:F55335","PARTICLE_ACCELERATOR_S")</f>
        <v>PARTICLE_ACCELERATOR_S</v>
      </c>
      <c r="E390" t="s">
        <v>102</v>
      </c>
      <c r="F390" t="s">
        <v>102</v>
      </c>
      <c r="G390" t="s">
        <v>102</v>
      </c>
      <c r="H390">
        <v>100110</v>
      </c>
      <c r="I390" t="s">
        <v>738</v>
      </c>
    </row>
    <row r="391" spans="1:9" x14ac:dyDescent="0.2">
      <c r="A391" t="s">
        <v>739</v>
      </c>
      <c r="B391" s="6" t="str">
        <f>HYPERLINK("[#]Feature_Schema_1!A55390:F55390","PENSTOCK_C")</f>
        <v>PENSTOCK_C</v>
      </c>
      <c r="C391" t="s">
        <v>79</v>
      </c>
      <c r="D391" t="s">
        <v>79</v>
      </c>
      <c r="E391" t="s">
        <v>79</v>
      </c>
      <c r="F391" t="s">
        <v>79</v>
      </c>
      <c r="G391" t="s">
        <v>79</v>
      </c>
      <c r="H391">
        <v>100310</v>
      </c>
      <c r="I391" t="s">
        <v>740</v>
      </c>
    </row>
    <row r="392" spans="1:9" x14ac:dyDescent="0.2">
      <c r="A392" t="s">
        <v>741</v>
      </c>
      <c r="B392" s="6" t="str">
        <f>HYPERLINK("[#]Feature_Schema_1!A55450:F55450","PICNIC_SITE_S")</f>
        <v>PICNIC_SITE_S</v>
      </c>
      <c r="F392" t="s">
        <v>39</v>
      </c>
      <c r="G392" t="s">
        <v>39</v>
      </c>
      <c r="H392">
        <v>100058</v>
      </c>
      <c r="I392" t="s">
        <v>742</v>
      </c>
    </row>
    <row r="393" spans="1:9" x14ac:dyDescent="0.2">
      <c r="A393" t="s">
        <v>743</v>
      </c>
      <c r="B393" s="6" t="str">
        <f>HYPERLINK("[#]Feature_Schema_1!A55505:F55505","PIPELINE_AON_S")</f>
        <v>PIPELINE_AON_S</v>
      </c>
      <c r="E393" t="s">
        <v>744</v>
      </c>
      <c r="G393" t="s">
        <v>744</v>
      </c>
      <c r="H393">
        <v>206</v>
      </c>
      <c r="I393" t="s">
        <v>745</v>
      </c>
    </row>
    <row r="394" spans="1:9" x14ac:dyDescent="0.2">
      <c r="A394" t="s">
        <v>746</v>
      </c>
      <c r="B394" s="6" t="str">
        <f>HYPERLINK("[#]Feature_Schema_1!A55815:F55815","PIPELINE_C")</f>
        <v>PIPELINE_C</v>
      </c>
      <c r="C394" t="s">
        <v>184</v>
      </c>
      <c r="D394" t="s">
        <v>184</v>
      </c>
      <c r="E394" t="s">
        <v>184</v>
      </c>
      <c r="F394" t="s">
        <v>184</v>
      </c>
      <c r="G394" t="s">
        <v>184</v>
      </c>
      <c r="H394">
        <v>100179</v>
      </c>
      <c r="I394" t="s">
        <v>747</v>
      </c>
    </row>
    <row r="395" spans="1:9" x14ac:dyDescent="0.2">
      <c r="A395" t="s">
        <v>748</v>
      </c>
      <c r="B395" s="6" t="str">
        <f>HYPERLINK("[#]Feature_Schema_1!A56134:F56134","PIPELINE_CROSSING_POINT_P")</f>
        <v>PIPELINE_CROSSING_POINT_P</v>
      </c>
      <c r="C395" t="s">
        <v>149</v>
      </c>
      <c r="D395" t="s">
        <v>149</v>
      </c>
      <c r="E395" t="s">
        <v>149</v>
      </c>
      <c r="F395" t="s">
        <v>149</v>
      </c>
      <c r="G395" t="s">
        <v>149</v>
      </c>
      <c r="H395">
        <v>100113</v>
      </c>
      <c r="I395" t="s">
        <v>749</v>
      </c>
    </row>
    <row r="396" spans="1:9" x14ac:dyDescent="0.2">
      <c r="A396" t="s">
        <v>750</v>
      </c>
      <c r="B396" s="6" t="str">
        <f>HYPERLINK("[#]Feature_Schema_1!A56187:F56187","PLANT_NURSERY_S")</f>
        <v>PLANT_NURSERY_S</v>
      </c>
      <c r="C396" t="s">
        <v>107</v>
      </c>
      <c r="D396" t="s">
        <v>107</v>
      </c>
      <c r="E396" t="s">
        <v>107</v>
      </c>
      <c r="F396" t="s">
        <v>107</v>
      </c>
      <c r="G396" t="s">
        <v>107</v>
      </c>
      <c r="H396">
        <v>100382</v>
      </c>
      <c r="I396" t="s">
        <v>751</v>
      </c>
    </row>
    <row r="397" spans="1:9" x14ac:dyDescent="0.2">
      <c r="A397" t="s">
        <v>752</v>
      </c>
      <c r="B397" s="6" t="str">
        <f>HYPERLINK("[#]Feature_Schema_1!A56286:F56286","POLAR_ICE_S")</f>
        <v>POLAR_ICE_S</v>
      </c>
      <c r="C397" t="s">
        <v>97</v>
      </c>
      <c r="D397" t="s">
        <v>97</v>
      </c>
      <c r="E397" t="s">
        <v>97</v>
      </c>
      <c r="F397" t="s">
        <v>97</v>
      </c>
      <c r="G397" t="s">
        <v>97</v>
      </c>
      <c r="H397">
        <v>100347</v>
      </c>
      <c r="I397" t="s">
        <v>753</v>
      </c>
    </row>
    <row r="398" spans="1:9" x14ac:dyDescent="0.2">
      <c r="A398" t="s">
        <v>754</v>
      </c>
      <c r="B398" s="6" t="str">
        <f>HYPERLINK("[#]Feature_Schema_1!A56331:F56331","PORT_P")</f>
        <v>PORT_P</v>
      </c>
      <c r="C398" t="s">
        <v>755</v>
      </c>
      <c r="D398" t="s">
        <v>755</v>
      </c>
      <c r="E398" t="s">
        <v>755</v>
      </c>
      <c r="G398" t="s">
        <v>755</v>
      </c>
      <c r="H398">
        <v>100223</v>
      </c>
      <c r="I398" t="s">
        <v>756</v>
      </c>
    </row>
    <row r="399" spans="1:9" x14ac:dyDescent="0.2">
      <c r="A399" t="s">
        <v>754</v>
      </c>
      <c r="B399" s="6" t="str">
        <f>HYPERLINK("[#]Feature_Schema_2!A3:F3","PORT_S")</f>
        <v>PORT_S</v>
      </c>
      <c r="C399" t="s">
        <v>346</v>
      </c>
      <c r="D399" t="s">
        <v>346</v>
      </c>
      <c r="E399" t="s">
        <v>346</v>
      </c>
      <c r="F399" t="s">
        <v>346</v>
      </c>
      <c r="G399" t="s">
        <v>346</v>
      </c>
      <c r="H399">
        <v>100223</v>
      </c>
      <c r="I399" t="s">
        <v>757</v>
      </c>
    </row>
    <row r="400" spans="1:9" x14ac:dyDescent="0.2">
      <c r="A400" t="s">
        <v>758</v>
      </c>
      <c r="B400" s="6" t="str">
        <f>HYPERLINK("[#]Feature_Schema_2!A589:F589","POWER_SUBSTATION_P")</f>
        <v>POWER_SUBSTATION_P</v>
      </c>
      <c r="C400" t="s">
        <v>20</v>
      </c>
      <c r="D400" t="s">
        <v>20</v>
      </c>
      <c r="E400" t="s">
        <v>20</v>
      </c>
      <c r="F400" t="s">
        <v>20</v>
      </c>
      <c r="G400" t="s">
        <v>20</v>
      </c>
      <c r="H400">
        <v>100021</v>
      </c>
      <c r="I400" t="s">
        <v>759</v>
      </c>
    </row>
    <row r="401" spans="1:11" x14ac:dyDescent="0.2">
      <c r="A401" t="s">
        <v>758</v>
      </c>
      <c r="B401" s="6" t="str">
        <f>HYPERLINK("[#]Feature_Schema_2!A713:F713","POWER_SUBSTATION_S")</f>
        <v>POWER_SUBSTATION_S</v>
      </c>
      <c r="E401" t="s">
        <v>22</v>
      </c>
      <c r="F401" t="s">
        <v>22</v>
      </c>
      <c r="G401" t="s">
        <v>22</v>
      </c>
      <c r="H401">
        <v>100021</v>
      </c>
      <c r="I401" t="s">
        <v>760</v>
      </c>
    </row>
    <row r="402" spans="1:11" x14ac:dyDescent="0.2">
      <c r="A402" t="s">
        <v>761</v>
      </c>
      <c r="B402" s="6" t="str">
        <f>HYPERLINK("[#]Feature_Schema_2!A837:F837","PREPARED_WATERCOURSE_CROSS_P")</f>
        <v>PREPARED_WATERCOURSE_CROSS_P</v>
      </c>
      <c r="C402" t="s">
        <v>112</v>
      </c>
      <c r="D402" t="s">
        <v>112</v>
      </c>
      <c r="E402" t="s">
        <v>112</v>
      </c>
      <c r="F402" t="s">
        <v>112</v>
      </c>
      <c r="G402" t="s">
        <v>112</v>
      </c>
      <c r="H402">
        <v>100178</v>
      </c>
      <c r="I402" t="s">
        <v>762</v>
      </c>
    </row>
    <row r="403" spans="1:11" x14ac:dyDescent="0.2">
      <c r="A403" t="s">
        <v>763</v>
      </c>
      <c r="B403" s="6" t="str">
        <f>HYPERLINK("[#]Feature_Schema_2!A899:F899","PUBLIC_SQUARE_P")</f>
        <v>PUBLIC_SQUARE_P</v>
      </c>
      <c r="C403" t="s">
        <v>37</v>
      </c>
      <c r="D403" t="s">
        <v>37</v>
      </c>
      <c r="G403" t="s">
        <v>37</v>
      </c>
      <c r="H403">
        <v>100114</v>
      </c>
      <c r="I403" t="s">
        <v>764</v>
      </c>
    </row>
    <row r="404" spans="1:11" x14ac:dyDescent="0.2">
      <c r="A404" t="s">
        <v>763</v>
      </c>
      <c r="B404" s="6" t="str">
        <f>HYPERLINK("[#]Feature_Schema_2!A953:F953","PUBLIC_SQUARE_S")</f>
        <v>PUBLIC_SQUARE_S</v>
      </c>
      <c r="E404" t="s">
        <v>39</v>
      </c>
      <c r="F404" t="s">
        <v>39</v>
      </c>
      <c r="G404" t="s">
        <v>39</v>
      </c>
      <c r="H404">
        <v>100114</v>
      </c>
      <c r="I404" t="s">
        <v>765</v>
      </c>
    </row>
    <row r="405" spans="1:11" x14ac:dyDescent="0.2">
      <c r="A405" t="s">
        <v>766</v>
      </c>
      <c r="B405" s="7" t="str">
        <f>HYPERLINK("[#]Feature_Schema_2!A1007:F1007","PUMP_P")</f>
        <v>PUMP_P</v>
      </c>
      <c r="E405" t="s">
        <v>767</v>
      </c>
      <c r="F405" t="s">
        <v>767</v>
      </c>
      <c r="G405" t="s">
        <v>767</v>
      </c>
      <c r="H405">
        <v>107</v>
      </c>
      <c r="I405" t="s">
        <v>768</v>
      </c>
      <c r="K405" t="s">
        <v>1141</v>
      </c>
    </row>
    <row r="406" spans="1:11" x14ac:dyDescent="0.2">
      <c r="A406" t="s">
        <v>769</v>
      </c>
      <c r="B406" s="6" t="str">
        <f>HYPERLINK("[#]Feature_Schema_2!A1098:F1098","PUMPING_STATION_AON_S")</f>
        <v>PUMPING_STATION_AON_S</v>
      </c>
      <c r="E406" t="s">
        <v>744</v>
      </c>
      <c r="G406" t="s">
        <v>744</v>
      </c>
      <c r="H406">
        <v>207</v>
      </c>
      <c r="I406" t="s">
        <v>770</v>
      </c>
    </row>
    <row r="407" spans="1:11" x14ac:dyDescent="0.2">
      <c r="A407" t="s">
        <v>771</v>
      </c>
      <c r="B407" s="6" t="str">
        <f>HYPERLINK("[#]Feature_Schema_2!A1409:F1409","PUMPING_STATION_P")</f>
        <v>PUMPING_STATION_P</v>
      </c>
      <c r="C407" t="s">
        <v>20</v>
      </c>
      <c r="D407" t="s">
        <v>20</v>
      </c>
      <c r="E407" t="s">
        <v>20</v>
      </c>
      <c r="F407" t="s">
        <v>20</v>
      </c>
      <c r="G407" t="s">
        <v>20</v>
      </c>
      <c r="H407">
        <v>100182</v>
      </c>
      <c r="I407" t="s">
        <v>772</v>
      </c>
    </row>
    <row r="408" spans="1:11" x14ac:dyDescent="0.2">
      <c r="A408" t="s">
        <v>771</v>
      </c>
      <c r="B408" s="6" t="str">
        <f>HYPERLINK("[#]Feature_Schema_2!A1721:F1721","PUMPING_STATION_S")</f>
        <v>PUMPING_STATION_S</v>
      </c>
      <c r="C408" t="s">
        <v>22</v>
      </c>
      <c r="D408" t="s">
        <v>22</v>
      </c>
      <c r="E408" t="s">
        <v>22</v>
      </c>
      <c r="F408" t="s">
        <v>22</v>
      </c>
      <c r="G408" t="s">
        <v>22</v>
      </c>
      <c r="H408">
        <v>100182</v>
      </c>
      <c r="I408" t="s">
        <v>773</v>
      </c>
    </row>
    <row r="409" spans="1:11" x14ac:dyDescent="0.2">
      <c r="A409" t="s">
        <v>774</v>
      </c>
      <c r="B409" s="6" t="str">
        <f>HYPERLINK("[#]Feature_Schema_2!A2033:F2033","PYLON_P")</f>
        <v>PYLON_P</v>
      </c>
      <c r="C409" t="s">
        <v>20</v>
      </c>
      <c r="D409" t="s">
        <v>20</v>
      </c>
      <c r="E409" t="s">
        <v>20</v>
      </c>
      <c r="F409" t="s">
        <v>20</v>
      </c>
      <c r="G409" t="s">
        <v>20</v>
      </c>
      <c r="H409">
        <v>100558</v>
      </c>
      <c r="I409" t="s">
        <v>775</v>
      </c>
    </row>
    <row r="410" spans="1:11" x14ac:dyDescent="0.2">
      <c r="A410" t="s">
        <v>776</v>
      </c>
      <c r="B410" s="6" t="str">
        <f>HYPERLINK("[#]Feature_Schema_2!A2174:F2174","QANAT_SHAFT_P")</f>
        <v>QANAT_SHAFT_P</v>
      </c>
      <c r="D410" t="s">
        <v>233</v>
      </c>
      <c r="E410" t="s">
        <v>233</v>
      </c>
      <c r="F410" t="s">
        <v>233</v>
      </c>
      <c r="G410" t="s">
        <v>233</v>
      </c>
      <c r="H410">
        <v>131749</v>
      </c>
      <c r="I410" t="s">
        <v>777</v>
      </c>
    </row>
    <row r="411" spans="1:11" x14ac:dyDescent="0.2">
      <c r="A411" t="s">
        <v>778</v>
      </c>
      <c r="B411" s="6" t="str">
        <f>HYPERLINK("[#]Feature_Schema_2!A2273:F2273","RACETRACK_C")</f>
        <v>RACETRACK_C</v>
      </c>
      <c r="C411" t="s">
        <v>42</v>
      </c>
      <c r="D411" t="s">
        <v>42</v>
      </c>
      <c r="E411" t="s">
        <v>42</v>
      </c>
      <c r="F411" t="s">
        <v>42</v>
      </c>
      <c r="G411" t="s">
        <v>42</v>
      </c>
      <c r="H411">
        <v>100069</v>
      </c>
      <c r="I411" t="s">
        <v>779</v>
      </c>
    </row>
    <row r="412" spans="1:11" x14ac:dyDescent="0.2">
      <c r="A412" t="s">
        <v>778</v>
      </c>
      <c r="B412" s="6" t="str">
        <f>HYPERLINK("[#]Feature_Schema_2!A2342:F2342","RACETRACK_S")</f>
        <v>RACETRACK_S</v>
      </c>
      <c r="F412" t="s">
        <v>39</v>
      </c>
      <c r="G412" t="s">
        <v>39</v>
      </c>
      <c r="H412">
        <v>100069</v>
      </c>
      <c r="I412" t="s">
        <v>780</v>
      </c>
    </row>
    <row r="413" spans="1:11" x14ac:dyDescent="0.2">
      <c r="A413" t="s">
        <v>781</v>
      </c>
      <c r="B413" s="6" t="str">
        <f>HYPERLINK("[#]Feature_Schema_2!A2411:F2411","RADAR_STATION_P")</f>
        <v>RADAR_STATION_P</v>
      </c>
      <c r="C413" t="s">
        <v>378</v>
      </c>
      <c r="D413" t="s">
        <v>378</v>
      </c>
      <c r="E413" t="s">
        <v>378</v>
      </c>
      <c r="F413" t="s">
        <v>378</v>
      </c>
      <c r="G413" t="s">
        <v>378</v>
      </c>
      <c r="H413">
        <v>100207</v>
      </c>
      <c r="I413" t="s">
        <v>782</v>
      </c>
    </row>
    <row r="414" spans="1:11" x14ac:dyDescent="0.2">
      <c r="A414" t="s">
        <v>781</v>
      </c>
      <c r="B414" s="6" t="str">
        <f>HYPERLINK("[#]Feature_Schema_2!A2526:F2526","RADAR_STATION_S")</f>
        <v>RADAR_STATION_S</v>
      </c>
      <c r="C414" t="s">
        <v>380</v>
      </c>
      <c r="D414" t="s">
        <v>380</v>
      </c>
      <c r="E414" t="s">
        <v>380</v>
      </c>
      <c r="F414" t="s">
        <v>380</v>
      </c>
      <c r="G414" t="s">
        <v>380</v>
      </c>
      <c r="H414">
        <v>100207</v>
      </c>
      <c r="I414" t="s">
        <v>783</v>
      </c>
    </row>
    <row r="415" spans="1:11" x14ac:dyDescent="0.2">
      <c r="A415" t="s">
        <v>784</v>
      </c>
      <c r="B415" s="6" t="str">
        <f>HYPERLINK("[#]Feature_Schema_2!A2641:F2641","RAILWAY_C")</f>
        <v>RAILWAY_C</v>
      </c>
      <c r="C415" t="s">
        <v>87</v>
      </c>
      <c r="D415" t="s">
        <v>87</v>
      </c>
      <c r="E415" t="s">
        <v>87</v>
      </c>
      <c r="F415" t="s">
        <v>87</v>
      </c>
      <c r="G415" t="s">
        <v>87</v>
      </c>
      <c r="H415">
        <v>100143</v>
      </c>
      <c r="I415" t="s">
        <v>785</v>
      </c>
    </row>
    <row r="416" spans="1:11" x14ac:dyDescent="0.2">
      <c r="A416" t="s">
        <v>786</v>
      </c>
      <c r="B416" s="6" t="str">
        <f>HYPERLINK("[#]Feature_Schema_2!A2808:F2808","RAILWAY_SIDETRACK_C")</f>
        <v>RAILWAY_SIDETRACK_C</v>
      </c>
      <c r="C416" t="s">
        <v>87</v>
      </c>
      <c r="D416" t="s">
        <v>87</v>
      </c>
      <c r="E416" t="s">
        <v>87</v>
      </c>
      <c r="F416" t="s">
        <v>87</v>
      </c>
      <c r="G416" t="s">
        <v>87</v>
      </c>
      <c r="H416">
        <v>100144</v>
      </c>
      <c r="I416" t="s">
        <v>787</v>
      </c>
    </row>
    <row r="417" spans="1:11" x14ac:dyDescent="0.2">
      <c r="A417" t="s">
        <v>788</v>
      </c>
      <c r="B417" s="6" t="str">
        <f>HYPERLINK("[#]Feature_Schema_2!A2954:F2954","RAILWAY_SIGNAL_P")</f>
        <v>RAILWAY_SIGNAL_P</v>
      </c>
      <c r="F417" t="s">
        <v>149</v>
      </c>
      <c r="G417" t="s">
        <v>149</v>
      </c>
      <c r="H417">
        <v>100149</v>
      </c>
      <c r="I417" t="s">
        <v>789</v>
      </c>
    </row>
    <row r="418" spans="1:11" x14ac:dyDescent="0.2">
      <c r="A418" t="s">
        <v>790</v>
      </c>
      <c r="B418" s="6" t="str">
        <f>HYPERLINK("[#]Feature_Schema_2!A3007:F3007","RAILWAY_TURNTABLE_P")</f>
        <v>RAILWAY_TURNTABLE_P</v>
      </c>
      <c r="E418" t="s">
        <v>149</v>
      </c>
      <c r="F418" t="s">
        <v>149</v>
      </c>
      <c r="G418" t="s">
        <v>149</v>
      </c>
      <c r="H418">
        <v>100146</v>
      </c>
      <c r="I418" t="s">
        <v>791</v>
      </c>
    </row>
    <row r="419" spans="1:11" x14ac:dyDescent="0.2">
      <c r="A419" t="s">
        <v>790</v>
      </c>
      <c r="B419" s="6" t="str">
        <f>HYPERLINK("[#]Feature_Schema_2!A3088:F3088","RAILWAY_TURNTABLE_S")</f>
        <v>RAILWAY_TURNTABLE_S</v>
      </c>
      <c r="F419" t="s">
        <v>89</v>
      </c>
      <c r="G419" t="s">
        <v>89</v>
      </c>
      <c r="H419">
        <v>100146</v>
      </c>
      <c r="I419" t="s">
        <v>792</v>
      </c>
    </row>
    <row r="420" spans="1:11" x14ac:dyDescent="0.2">
      <c r="A420" t="s">
        <v>793</v>
      </c>
      <c r="B420" s="6" t="str">
        <f>HYPERLINK("[#]Feature_Schema_2!A3169:F3169","RAILWAY_YARD_P")</f>
        <v>RAILWAY_YARD_P</v>
      </c>
      <c r="C420" t="s">
        <v>327</v>
      </c>
      <c r="D420" t="s">
        <v>327</v>
      </c>
      <c r="G420" t="s">
        <v>327</v>
      </c>
      <c r="H420">
        <v>100145</v>
      </c>
      <c r="I420" t="s">
        <v>794</v>
      </c>
    </row>
    <row r="421" spans="1:11" x14ac:dyDescent="0.2">
      <c r="A421" t="s">
        <v>793</v>
      </c>
      <c r="B421" s="6" t="str">
        <f>HYPERLINK("[#]Feature_Schema_2!A3291:F3291","RAILWAY_YARD_S")</f>
        <v>RAILWAY_YARD_S</v>
      </c>
      <c r="C421" t="s">
        <v>89</v>
      </c>
      <c r="D421" t="s">
        <v>89</v>
      </c>
      <c r="E421" t="s">
        <v>89</v>
      </c>
      <c r="F421" t="s">
        <v>89</v>
      </c>
      <c r="G421" t="s">
        <v>89</v>
      </c>
      <c r="H421">
        <v>100145</v>
      </c>
      <c r="I421" t="s">
        <v>795</v>
      </c>
    </row>
    <row r="422" spans="1:11" x14ac:dyDescent="0.2">
      <c r="A422" t="s">
        <v>796</v>
      </c>
      <c r="B422" s="6" t="str">
        <f>HYPERLINK("[#]Feature_Schema_2!A3413:F3413","RAMP_C")</f>
        <v>RAMP_C</v>
      </c>
      <c r="F422" t="s">
        <v>87</v>
      </c>
      <c r="G422" t="s">
        <v>87</v>
      </c>
      <c r="H422">
        <v>100115</v>
      </c>
      <c r="I422" t="s">
        <v>797</v>
      </c>
    </row>
    <row r="423" spans="1:11" x14ac:dyDescent="0.2">
      <c r="A423" t="s">
        <v>796</v>
      </c>
      <c r="B423" s="6" t="str">
        <f>HYPERLINK("[#]Feature_Schema_2!A3467:F3467","RAMP_S")</f>
        <v>RAMP_S</v>
      </c>
      <c r="F423" t="s">
        <v>89</v>
      </c>
      <c r="G423" t="s">
        <v>89</v>
      </c>
      <c r="H423">
        <v>100115</v>
      </c>
      <c r="I423" t="s">
        <v>798</v>
      </c>
    </row>
    <row r="424" spans="1:11" x14ac:dyDescent="0.2">
      <c r="A424" t="s">
        <v>799</v>
      </c>
      <c r="B424" s="6" t="str">
        <f>HYPERLINK("[#]Feature_Schema_2!A3521:F3521","RAPIDS_C")</f>
        <v>RAPIDS_C</v>
      </c>
      <c r="C424" t="s">
        <v>79</v>
      </c>
      <c r="D424" t="s">
        <v>79</v>
      </c>
      <c r="E424" t="s">
        <v>79</v>
      </c>
      <c r="F424" t="s">
        <v>79</v>
      </c>
      <c r="G424" t="s">
        <v>79</v>
      </c>
      <c r="H424">
        <v>100311</v>
      </c>
      <c r="I424" t="s">
        <v>800</v>
      </c>
    </row>
    <row r="425" spans="1:11" x14ac:dyDescent="0.2">
      <c r="A425" t="s">
        <v>799</v>
      </c>
      <c r="B425" s="6" t="str">
        <f>HYPERLINK("[#]Feature_Schema_2!A3561:F3561","RAPIDS_P")</f>
        <v>RAPIDS_P</v>
      </c>
      <c r="C425" t="s">
        <v>233</v>
      </c>
      <c r="D425" t="s">
        <v>233</v>
      </c>
      <c r="E425" t="s">
        <v>233</v>
      </c>
      <c r="F425" t="s">
        <v>233</v>
      </c>
      <c r="G425" t="s">
        <v>233</v>
      </c>
      <c r="H425">
        <v>100311</v>
      </c>
      <c r="I425" t="s">
        <v>801</v>
      </c>
    </row>
    <row r="426" spans="1:11" x14ac:dyDescent="0.2">
      <c r="A426" t="s">
        <v>799</v>
      </c>
      <c r="B426" s="6" t="str">
        <f>HYPERLINK("[#]Feature_Schema_2!A3601:F3601","RAPIDS_S")</f>
        <v>RAPIDS_S</v>
      </c>
      <c r="C426" t="s">
        <v>81</v>
      </c>
      <c r="D426" t="s">
        <v>81</v>
      </c>
      <c r="E426" t="s">
        <v>81</v>
      </c>
      <c r="F426" t="s">
        <v>81</v>
      </c>
      <c r="G426" t="s">
        <v>81</v>
      </c>
      <c r="H426">
        <v>100311</v>
      </c>
      <c r="I426" t="s">
        <v>802</v>
      </c>
    </row>
    <row r="427" spans="1:11" x14ac:dyDescent="0.2">
      <c r="A427" t="s">
        <v>803</v>
      </c>
      <c r="B427" s="6" t="str">
        <f>HYPERLINK("[#]Feature_Schema_2!A3641:F3641","RECYCLING_SITE_S")</f>
        <v>RECYCLING_SITE_S</v>
      </c>
      <c r="C427" t="s">
        <v>17</v>
      </c>
      <c r="D427" t="s">
        <v>17</v>
      </c>
      <c r="E427" t="s">
        <v>17</v>
      </c>
      <c r="F427" t="s">
        <v>17</v>
      </c>
      <c r="G427" t="s">
        <v>17</v>
      </c>
      <c r="H427">
        <v>100008</v>
      </c>
      <c r="I427" t="s">
        <v>804</v>
      </c>
    </row>
    <row r="428" spans="1:11" x14ac:dyDescent="0.2">
      <c r="A428" t="s">
        <v>805</v>
      </c>
      <c r="B428" s="6" t="str">
        <f>HYPERLINK("[#]Feature_Schema_2!A3707:F3707","REEF_C")</f>
        <v>REEF_C</v>
      </c>
      <c r="C428" t="s">
        <v>312</v>
      </c>
      <c r="D428" t="s">
        <v>312</v>
      </c>
      <c r="E428" t="s">
        <v>312</v>
      </c>
      <c r="F428" t="s">
        <v>312</v>
      </c>
      <c r="G428" t="s">
        <v>312</v>
      </c>
      <c r="H428">
        <v>100273</v>
      </c>
      <c r="I428" t="s">
        <v>806</v>
      </c>
    </row>
    <row r="429" spans="1:11" x14ac:dyDescent="0.2">
      <c r="A429" t="s">
        <v>805</v>
      </c>
      <c r="B429" s="6" t="str">
        <f>HYPERLINK("[#]Feature_Schema_2!A3769:F3769","REEF_S")</f>
        <v>REEF_S</v>
      </c>
      <c r="D429" t="s">
        <v>73</v>
      </c>
      <c r="E429" t="s">
        <v>73</v>
      </c>
      <c r="F429" t="s">
        <v>73</v>
      </c>
      <c r="G429" t="s">
        <v>73</v>
      </c>
      <c r="H429">
        <v>100273</v>
      </c>
      <c r="I429" t="s">
        <v>807</v>
      </c>
    </row>
    <row r="430" spans="1:11" s="8" customFormat="1" x14ac:dyDescent="0.2">
      <c r="A430" s="8" t="s">
        <v>808</v>
      </c>
      <c r="B430" s="7" t="str">
        <f>HYPERLINK("[#]Feature_Schema_2!A3831:F3831","RESTRICTION_INFO_T")</f>
        <v>RESTRICTION_INFO_T</v>
      </c>
      <c r="H430" s="8">
        <v>100480</v>
      </c>
      <c r="I430" s="8" t="s">
        <v>809</v>
      </c>
      <c r="J430" s="8" t="s">
        <v>301</v>
      </c>
      <c r="K430"/>
    </row>
    <row r="431" spans="1:11" x14ac:dyDescent="0.2">
      <c r="A431" t="s">
        <v>810</v>
      </c>
      <c r="B431" s="6" t="str">
        <f>HYPERLINK("[#]Feature_Schema_2!A3853:F3853","RETAIL_STAND_S")</f>
        <v>RETAIL_STAND_S</v>
      </c>
      <c r="F431" t="s">
        <v>94</v>
      </c>
      <c r="G431" t="s">
        <v>94</v>
      </c>
      <c r="H431">
        <v>100689</v>
      </c>
      <c r="I431" t="s">
        <v>811</v>
      </c>
    </row>
    <row r="432" spans="1:11" x14ac:dyDescent="0.2">
      <c r="A432" t="s">
        <v>812</v>
      </c>
      <c r="B432" s="6" t="str">
        <f>HYPERLINK("[#]Feature_Schema_2!A3968:F3968","RICE_FIELD_S")</f>
        <v>RICE_FIELD_S</v>
      </c>
      <c r="C432" t="s">
        <v>107</v>
      </c>
      <c r="D432" t="s">
        <v>107</v>
      </c>
      <c r="E432" t="s">
        <v>107</v>
      </c>
      <c r="F432" t="s">
        <v>107</v>
      </c>
      <c r="G432" t="s">
        <v>107</v>
      </c>
      <c r="H432">
        <v>100313</v>
      </c>
      <c r="I432" t="s">
        <v>813</v>
      </c>
    </row>
    <row r="433" spans="1:9" x14ac:dyDescent="0.2">
      <c r="A433" t="s">
        <v>814</v>
      </c>
      <c r="B433" s="6" t="str">
        <f>HYPERLINK("[#]Feature_Schema_2!A4129:F4129","RIG_P")</f>
        <v>RIG_P</v>
      </c>
      <c r="C433" t="s">
        <v>131</v>
      </c>
      <c r="D433" t="s">
        <v>131</v>
      </c>
      <c r="E433" t="s">
        <v>131</v>
      </c>
      <c r="F433" t="s">
        <v>131</v>
      </c>
      <c r="G433" t="s">
        <v>131</v>
      </c>
      <c r="H433">
        <v>100004</v>
      </c>
      <c r="I433" t="s">
        <v>815</v>
      </c>
    </row>
    <row r="434" spans="1:9" x14ac:dyDescent="0.2">
      <c r="A434" t="s">
        <v>814</v>
      </c>
      <c r="B434" s="6" t="str">
        <f>HYPERLINK("[#]Feature_Schema_2!A4248:F4248","RIG_S")</f>
        <v>RIG_S</v>
      </c>
      <c r="F434" t="s">
        <v>17</v>
      </c>
      <c r="G434" t="s">
        <v>17</v>
      </c>
      <c r="H434">
        <v>100004</v>
      </c>
      <c r="I434" t="s">
        <v>816</v>
      </c>
    </row>
    <row r="435" spans="1:9" x14ac:dyDescent="0.2">
      <c r="A435" t="s">
        <v>817</v>
      </c>
      <c r="B435" s="6" t="str">
        <f>HYPERLINK("[#]Feature_Schema_2!A4367:F4367","RIVER_AON_S")</f>
        <v>RIVER_AON_S</v>
      </c>
      <c r="E435" t="s">
        <v>76</v>
      </c>
      <c r="G435" t="s">
        <v>76</v>
      </c>
      <c r="H435">
        <v>208</v>
      </c>
      <c r="I435" t="s">
        <v>818</v>
      </c>
    </row>
    <row r="436" spans="1:9" x14ac:dyDescent="0.2">
      <c r="A436" t="s">
        <v>819</v>
      </c>
      <c r="B436" s="6" t="str">
        <f>HYPERLINK("[#]Feature_Schema_2!A4817:F4817","RIVER_C")</f>
        <v>RIVER_C</v>
      </c>
      <c r="C436" t="s">
        <v>79</v>
      </c>
      <c r="D436" t="s">
        <v>79</v>
      </c>
      <c r="E436" t="s">
        <v>79</v>
      </c>
      <c r="F436" t="s">
        <v>79</v>
      </c>
      <c r="G436" t="s">
        <v>79</v>
      </c>
      <c r="H436">
        <v>100314</v>
      </c>
      <c r="I436" t="s">
        <v>820</v>
      </c>
    </row>
    <row r="437" spans="1:9" x14ac:dyDescent="0.2">
      <c r="A437" t="s">
        <v>819</v>
      </c>
      <c r="B437" s="6" t="str">
        <f>HYPERLINK("[#]Feature_Schema_2!A5271:F5271","RIVER_S")</f>
        <v>RIVER_S</v>
      </c>
      <c r="C437" t="s">
        <v>81</v>
      </c>
      <c r="D437" t="s">
        <v>81</v>
      </c>
      <c r="E437" t="s">
        <v>81</v>
      </c>
      <c r="F437" t="s">
        <v>81</v>
      </c>
      <c r="G437" t="s">
        <v>81</v>
      </c>
      <c r="H437">
        <v>100314</v>
      </c>
      <c r="I437" t="s">
        <v>821</v>
      </c>
    </row>
    <row r="438" spans="1:9" x14ac:dyDescent="0.2">
      <c r="A438" t="s">
        <v>822</v>
      </c>
      <c r="B438" s="6" t="str">
        <f>HYPERLINK("[#]Feature_Schema_2!A5725:F5725","ROAD_C")</f>
        <v>ROAD_C</v>
      </c>
      <c r="C438" t="s">
        <v>87</v>
      </c>
      <c r="D438" t="s">
        <v>87</v>
      </c>
      <c r="E438" t="s">
        <v>87</v>
      </c>
      <c r="F438" t="s">
        <v>87</v>
      </c>
      <c r="G438" t="s">
        <v>87</v>
      </c>
      <c r="H438">
        <v>100152</v>
      </c>
      <c r="I438" t="s">
        <v>823</v>
      </c>
    </row>
    <row r="439" spans="1:9" x14ac:dyDescent="0.2">
      <c r="A439" t="s">
        <v>824</v>
      </c>
      <c r="B439" s="6" t="str">
        <f>HYPERLINK("[#]Feature_Schema_2!A5908:F5908","ROAD_INTERCHANGE_P")</f>
        <v>ROAD_INTERCHANGE_P</v>
      </c>
      <c r="C439" t="s">
        <v>149</v>
      </c>
      <c r="D439" t="s">
        <v>149</v>
      </c>
      <c r="E439" t="s">
        <v>149</v>
      </c>
      <c r="F439" t="s">
        <v>149</v>
      </c>
      <c r="G439" t="s">
        <v>149</v>
      </c>
      <c r="H439">
        <v>100151</v>
      </c>
      <c r="I439" t="s">
        <v>825</v>
      </c>
    </row>
    <row r="440" spans="1:9" x14ac:dyDescent="0.2">
      <c r="A440" t="s">
        <v>822</v>
      </c>
      <c r="B440" s="6" t="str">
        <f>HYPERLINK("[#]Feature_Schema_2!A6003:F6003","ROAD_S")</f>
        <v>ROAD_S</v>
      </c>
      <c r="F440" t="s">
        <v>89</v>
      </c>
      <c r="G440" t="s">
        <v>89</v>
      </c>
      <c r="H440">
        <v>100152</v>
      </c>
      <c r="I440" t="s">
        <v>826</v>
      </c>
    </row>
    <row r="441" spans="1:9" x14ac:dyDescent="0.2">
      <c r="A441" t="s">
        <v>827</v>
      </c>
      <c r="B441" s="6" t="str">
        <f>HYPERLINK("[#]Feature_Schema_2!A6186:F6186","ROADSIDE_REST_AREA_P")</f>
        <v>ROADSIDE_REST_AREA_P</v>
      </c>
      <c r="C441" t="s">
        <v>149</v>
      </c>
      <c r="D441" t="s">
        <v>149</v>
      </c>
      <c r="G441" t="s">
        <v>149</v>
      </c>
      <c r="H441">
        <v>100188</v>
      </c>
      <c r="I441" t="s">
        <v>828</v>
      </c>
    </row>
    <row r="442" spans="1:9" x14ac:dyDescent="0.2">
      <c r="A442" t="s">
        <v>827</v>
      </c>
      <c r="B442" s="6" t="str">
        <f>HYPERLINK("[#]Feature_Schema_2!A6309:F6309","ROADSIDE_REST_AREA_S")</f>
        <v>ROADSIDE_REST_AREA_S</v>
      </c>
      <c r="E442" t="s">
        <v>89</v>
      </c>
      <c r="F442" t="s">
        <v>89</v>
      </c>
      <c r="G442" t="s">
        <v>89</v>
      </c>
      <c r="H442">
        <v>100188</v>
      </c>
      <c r="I442" t="s">
        <v>829</v>
      </c>
    </row>
    <row r="443" spans="1:9" x14ac:dyDescent="0.2">
      <c r="A443" t="s">
        <v>830</v>
      </c>
      <c r="B443" s="6" t="str">
        <f>HYPERLINK("[#]Feature_Schema_2!A6432:F6432","ROCK_FORMATION_P")</f>
        <v>ROCK_FORMATION_P</v>
      </c>
      <c r="C443" t="s">
        <v>223</v>
      </c>
      <c r="D443" t="s">
        <v>223</v>
      </c>
      <c r="E443" t="s">
        <v>223</v>
      </c>
      <c r="F443" t="s">
        <v>223</v>
      </c>
      <c r="G443" t="s">
        <v>223</v>
      </c>
      <c r="H443">
        <v>100373</v>
      </c>
      <c r="I443" t="s">
        <v>831</v>
      </c>
    </row>
    <row r="444" spans="1:9" x14ac:dyDescent="0.2">
      <c r="A444" t="s">
        <v>830</v>
      </c>
      <c r="B444" s="6" t="str">
        <f>HYPERLINK("[#]Feature_Schema_2!A6482:F6482","ROCK_FORMATION_S")</f>
        <v>ROCK_FORMATION_S</v>
      </c>
      <c r="C444" t="s">
        <v>97</v>
      </c>
      <c r="D444" t="s">
        <v>97</v>
      </c>
      <c r="E444" t="s">
        <v>97</v>
      </c>
      <c r="F444" t="s">
        <v>97</v>
      </c>
      <c r="G444" t="s">
        <v>97</v>
      </c>
      <c r="H444">
        <v>100373</v>
      </c>
      <c r="I444" t="s">
        <v>832</v>
      </c>
    </row>
    <row r="445" spans="1:9" x14ac:dyDescent="0.2">
      <c r="A445" t="s">
        <v>833</v>
      </c>
      <c r="B445" s="6" t="str">
        <f>HYPERLINK("[#]Feature_Schema_2!A6532:F6532","ROUNDHOUSE_P")</f>
        <v>ROUNDHOUSE_P</v>
      </c>
      <c r="C445" t="s">
        <v>149</v>
      </c>
      <c r="D445" t="s">
        <v>149</v>
      </c>
      <c r="E445" t="s">
        <v>149</v>
      </c>
      <c r="F445" t="s">
        <v>149</v>
      </c>
      <c r="G445" t="s">
        <v>149</v>
      </c>
      <c r="H445">
        <v>100147</v>
      </c>
      <c r="I445" t="s">
        <v>834</v>
      </c>
    </row>
    <row r="446" spans="1:9" x14ac:dyDescent="0.2">
      <c r="A446" t="s">
        <v>833</v>
      </c>
      <c r="B446" s="6" t="str">
        <f>HYPERLINK("[#]Feature_Schema_2!A6715:F6715","ROUNDHOUSE_S")</f>
        <v>ROUNDHOUSE_S</v>
      </c>
      <c r="D446" t="s">
        <v>89</v>
      </c>
      <c r="E446" t="s">
        <v>89</v>
      </c>
      <c r="F446" t="s">
        <v>89</v>
      </c>
      <c r="G446" t="s">
        <v>89</v>
      </c>
      <c r="H446">
        <v>100147</v>
      </c>
      <c r="I446" t="s">
        <v>835</v>
      </c>
    </row>
    <row r="447" spans="1:9" x14ac:dyDescent="0.2">
      <c r="A447" t="s">
        <v>836</v>
      </c>
      <c r="B447" s="6" t="str">
        <f>HYPERLINK("[#]Feature_Schema_2!A6898:F6898","RUINS_P")</f>
        <v>RUINS_P</v>
      </c>
      <c r="C447" t="s">
        <v>92</v>
      </c>
      <c r="D447" t="s">
        <v>92</v>
      </c>
      <c r="E447" t="s">
        <v>92</v>
      </c>
      <c r="F447" t="s">
        <v>92</v>
      </c>
      <c r="G447" t="s">
        <v>92</v>
      </c>
      <c r="H447">
        <v>100116</v>
      </c>
      <c r="I447" t="s">
        <v>837</v>
      </c>
    </row>
    <row r="448" spans="1:9" x14ac:dyDescent="0.2">
      <c r="A448" t="s">
        <v>836</v>
      </c>
      <c r="B448" s="6" t="str">
        <f>HYPERLINK("[#]Feature_Schema_2!A6946:F6946","RUINS_S")</f>
        <v>RUINS_S</v>
      </c>
      <c r="C448" t="s">
        <v>94</v>
      </c>
      <c r="D448" t="s">
        <v>94</v>
      </c>
      <c r="E448" t="s">
        <v>94</v>
      </c>
      <c r="F448" t="s">
        <v>94</v>
      </c>
      <c r="G448" t="s">
        <v>94</v>
      </c>
      <c r="H448">
        <v>100116</v>
      </c>
      <c r="I448" t="s">
        <v>838</v>
      </c>
    </row>
    <row r="449" spans="1:9" x14ac:dyDescent="0.2">
      <c r="A449" t="s">
        <v>839</v>
      </c>
      <c r="B449" s="6" t="str">
        <f>HYPERLINK("[#]Feature_Schema_2!A6994:F6994","RUNWAY_S")</f>
        <v>RUNWAY_S</v>
      </c>
      <c r="C449" t="s">
        <v>34</v>
      </c>
      <c r="D449" t="s">
        <v>34</v>
      </c>
      <c r="E449" t="s">
        <v>34</v>
      </c>
      <c r="F449" t="s">
        <v>34</v>
      </c>
      <c r="G449" t="s">
        <v>34</v>
      </c>
      <c r="H449">
        <v>100448</v>
      </c>
      <c r="I449" t="s">
        <v>840</v>
      </c>
    </row>
    <row r="450" spans="1:9" x14ac:dyDescent="0.2">
      <c r="A450" t="s">
        <v>841</v>
      </c>
      <c r="B450" s="6" t="str">
        <f>HYPERLINK("[#]Feature_Schema_2!A7203:F7203","SABKHA_AON_S")</f>
        <v>SABKHA_AON_S</v>
      </c>
      <c r="E450" t="s">
        <v>842</v>
      </c>
      <c r="G450" t="s">
        <v>842</v>
      </c>
      <c r="H450">
        <v>209</v>
      </c>
      <c r="I450" t="s">
        <v>843</v>
      </c>
    </row>
    <row r="451" spans="1:9" x14ac:dyDescent="0.2">
      <c r="A451" t="s">
        <v>844</v>
      </c>
      <c r="B451" s="6" t="str">
        <f>HYPERLINK("[#]Feature_Schema_2!A7243:F7243","SABKHA_S")</f>
        <v>SABKHA_S</v>
      </c>
      <c r="C451" t="s">
        <v>97</v>
      </c>
      <c r="D451" t="s">
        <v>97</v>
      </c>
      <c r="E451" t="s">
        <v>97</v>
      </c>
      <c r="F451" t="s">
        <v>97</v>
      </c>
      <c r="G451" t="s">
        <v>97</v>
      </c>
      <c r="H451">
        <v>100318</v>
      </c>
      <c r="I451" t="s">
        <v>845</v>
      </c>
    </row>
    <row r="452" spans="1:9" x14ac:dyDescent="0.2">
      <c r="A452" t="s">
        <v>846</v>
      </c>
      <c r="B452" s="6" t="str">
        <f>HYPERLINK("[#]Feature_Schema_2!A7282:F7282","SALT_EVAPORATOR_P")</f>
        <v>SALT_EVAPORATOR_P</v>
      </c>
      <c r="C452" t="s">
        <v>131</v>
      </c>
      <c r="D452" t="s">
        <v>131</v>
      </c>
      <c r="G452" t="s">
        <v>131</v>
      </c>
      <c r="H452">
        <v>100317</v>
      </c>
      <c r="I452" t="s">
        <v>847</v>
      </c>
    </row>
    <row r="453" spans="1:9" x14ac:dyDescent="0.2">
      <c r="A453" t="s">
        <v>846</v>
      </c>
      <c r="B453" s="6" t="str">
        <f>HYPERLINK("[#]Feature_Schema_2!A7339:F7339","SALT_EVAPORATOR_S")</f>
        <v>SALT_EVAPORATOR_S</v>
      </c>
      <c r="C453" t="s">
        <v>17</v>
      </c>
      <c r="D453" t="s">
        <v>17</v>
      </c>
      <c r="E453" t="s">
        <v>17</v>
      </c>
      <c r="F453" t="s">
        <v>17</v>
      </c>
      <c r="G453" t="s">
        <v>17</v>
      </c>
      <c r="H453">
        <v>100317</v>
      </c>
      <c r="I453" t="s">
        <v>848</v>
      </c>
    </row>
    <row r="454" spans="1:9" x14ac:dyDescent="0.2">
      <c r="A454" t="s">
        <v>849</v>
      </c>
      <c r="B454" s="6" t="str">
        <f>HYPERLINK("[#]Feature_Schema_2!A7396:F7396","SALT_FLAT_S")</f>
        <v>SALT_FLAT_S</v>
      </c>
      <c r="C454" t="s">
        <v>97</v>
      </c>
      <c r="D454" t="s">
        <v>97</v>
      </c>
      <c r="E454" t="s">
        <v>97</v>
      </c>
      <c r="F454" t="s">
        <v>97</v>
      </c>
      <c r="G454" t="s">
        <v>97</v>
      </c>
      <c r="H454">
        <v>100316</v>
      </c>
      <c r="I454" t="s">
        <v>850</v>
      </c>
    </row>
    <row r="455" spans="1:9" x14ac:dyDescent="0.2">
      <c r="A455" t="s">
        <v>851</v>
      </c>
      <c r="B455" s="6" t="str">
        <f>HYPERLINK("[#]Feature_Schema_2!A7451:F7451","SAND_DUNES_S")</f>
        <v>SAND_DUNES_S</v>
      </c>
      <c r="C455" t="s">
        <v>97</v>
      </c>
      <c r="D455" t="s">
        <v>97</v>
      </c>
      <c r="E455" t="s">
        <v>97</v>
      </c>
      <c r="F455" t="s">
        <v>97</v>
      </c>
      <c r="G455" t="s">
        <v>97</v>
      </c>
      <c r="H455">
        <v>100374</v>
      </c>
      <c r="I455" t="s">
        <v>852</v>
      </c>
    </row>
    <row r="456" spans="1:9" x14ac:dyDescent="0.2">
      <c r="A456" t="s">
        <v>853</v>
      </c>
      <c r="B456" s="6" t="str">
        <f>HYPERLINK("[#]Feature_Schema_2!A7504:F7504","SCOREBOARD_P")</f>
        <v>SCOREBOARD_P</v>
      </c>
      <c r="C456" t="s">
        <v>37</v>
      </c>
      <c r="D456" t="s">
        <v>37</v>
      </c>
      <c r="E456" t="s">
        <v>37</v>
      </c>
      <c r="F456" t="s">
        <v>37</v>
      </c>
      <c r="G456" t="s">
        <v>37</v>
      </c>
      <c r="H456">
        <v>121747</v>
      </c>
      <c r="I456" t="s">
        <v>854</v>
      </c>
    </row>
    <row r="457" spans="1:9" x14ac:dyDescent="0.2">
      <c r="A457" t="s">
        <v>855</v>
      </c>
      <c r="B457" s="6" t="str">
        <f>HYPERLINK("[#]Feature_Schema_2!A7573:F7573","SEAPLANE_RUN_S")</f>
        <v>SEAPLANE_RUN_S</v>
      </c>
      <c r="E457" t="s">
        <v>34</v>
      </c>
      <c r="F457" t="s">
        <v>34</v>
      </c>
      <c r="G457" t="s">
        <v>34</v>
      </c>
      <c r="H457">
        <v>100453</v>
      </c>
      <c r="I457" t="s">
        <v>856</v>
      </c>
    </row>
    <row r="458" spans="1:9" x14ac:dyDescent="0.2">
      <c r="A458" t="s">
        <v>857</v>
      </c>
      <c r="B458" s="6" t="str">
        <f>HYPERLINK("[#]Feature_Schema_2!A7635:F7635","SETTLEMENT_P")</f>
        <v>SETTLEMENT_P</v>
      </c>
      <c r="C458" t="s">
        <v>176</v>
      </c>
      <c r="D458" t="s">
        <v>176</v>
      </c>
      <c r="E458" t="s">
        <v>176</v>
      </c>
      <c r="F458" t="s">
        <v>176</v>
      </c>
      <c r="G458" t="s">
        <v>176</v>
      </c>
      <c r="H458">
        <v>100104</v>
      </c>
      <c r="I458" t="s">
        <v>858</v>
      </c>
    </row>
    <row r="459" spans="1:9" x14ac:dyDescent="0.2">
      <c r="A459" t="s">
        <v>857</v>
      </c>
      <c r="B459" s="6" t="str">
        <f>HYPERLINK("[#]Feature_Schema_2!A7729:F7729","SETTLEMENT_S")</f>
        <v>SETTLEMENT_S</v>
      </c>
      <c r="C459" t="s">
        <v>178</v>
      </c>
      <c r="D459" t="s">
        <v>178</v>
      </c>
      <c r="E459" t="s">
        <v>178</v>
      </c>
      <c r="F459" t="s">
        <v>178</v>
      </c>
      <c r="G459" t="s">
        <v>178</v>
      </c>
      <c r="H459">
        <v>100104</v>
      </c>
      <c r="I459" t="s">
        <v>859</v>
      </c>
    </row>
    <row r="460" spans="1:9" x14ac:dyDescent="0.2">
      <c r="A460" t="s">
        <v>860</v>
      </c>
      <c r="B460" s="6" t="str">
        <f>HYPERLINK("[#]Feature_Schema_2!A7823:F7823","SETTLING_POND_S")</f>
        <v>SETTLING_POND_S</v>
      </c>
      <c r="D460" t="s">
        <v>17</v>
      </c>
      <c r="E460" t="s">
        <v>17</v>
      </c>
      <c r="F460" t="s">
        <v>17</v>
      </c>
      <c r="G460" t="s">
        <v>17</v>
      </c>
      <c r="H460">
        <v>100014</v>
      </c>
      <c r="I460" t="s">
        <v>861</v>
      </c>
    </row>
    <row r="461" spans="1:9" x14ac:dyDescent="0.2">
      <c r="A461" t="s">
        <v>862</v>
      </c>
      <c r="B461" s="6" t="str">
        <f>HYPERLINK("[#]Feature_Schema_2!A7884:F7884","SEWAGE_TREATMENT_PLANT_P")</f>
        <v>SEWAGE_TREATMENT_PLANT_P</v>
      </c>
      <c r="C461" t="s">
        <v>20</v>
      </c>
      <c r="D461" t="s">
        <v>20</v>
      </c>
      <c r="E461" t="s">
        <v>20</v>
      </c>
      <c r="F461" t="s">
        <v>20</v>
      </c>
      <c r="G461" t="s">
        <v>20</v>
      </c>
      <c r="H461">
        <v>134665</v>
      </c>
      <c r="I461" t="s">
        <v>863</v>
      </c>
    </row>
    <row r="462" spans="1:9" x14ac:dyDescent="0.2">
      <c r="A462" t="s">
        <v>862</v>
      </c>
      <c r="B462" s="6" t="str">
        <f>HYPERLINK("[#]Feature_Schema_2!A8266:F8266","SEWAGE_TREATMENT_PLANT_S")</f>
        <v>SEWAGE_TREATMENT_PLANT_S</v>
      </c>
      <c r="C462" t="s">
        <v>22</v>
      </c>
      <c r="D462" t="s">
        <v>22</v>
      </c>
      <c r="E462" t="s">
        <v>22</v>
      </c>
      <c r="F462" t="s">
        <v>22</v>
      </c>
      <c r="G462" t="s">
        <v>22</v>
      </c>
      <c r="H462">
        <v>134665</v>
      </c>
      <c r="I462" t="s">
        <v>864</v>
      </c>
    </row>
    <row r="463" spans="1:9" x14ac:dyDescent="0.2">
      <c r="A463" t="s">
        <v>865</v>
      </c>
      <c r="B463" s="6" t="str">
        <f>HYPERLINK("[#]Feature_Schema_2!A8648:F8648","SHANTY_TOWN_P")</f>
        <v>SHANTY_TOWN_P</v>
      </c>
      <c r="C463" t="s">
        <v>176</v>
      </c>
      <c r="D463" t="s">
        <v>176</v>
      </c>
      <c r="E463" t="s">
        <v>176</v>
      </c>
      <c r="F463" t="s">
        <v>176</v>
      </c>
      <c r="G463" t="s">
        <v>176</v>
      </c>
      <c r="H463">
        <v>100118</v>
      </c>
      <c r="I463" t="s">
        <v>866</v>
      </c>
    </row>
    <row r="464" spans="1:9" x14ac:dyDescent="0.2">
      <c r="A464" t="s">
        <v>865</v>
      </c>
      <c r="B464" s="6" t="str">
        <f>HYPERLINK("[#]Feature_Schema_2!A8705:F8705","SHANTY_TOWN_S")</f>
        <v>SHANTY_TOWN_S</v>
      </c>
      <c r="C464" t="s">
        <v>178</v>
      </c>
      <c r="D464" t="s">
        <v>178</v>
      </c>
      <c r="E464" t="s">
        <v>178</v>
      </c>
      <c r="F464" t="s">
        <v>178</v>
      </c>
      <c r="G464" t="s">
        <v>178</v>
      </c>
      <c r="H464">
        <v>100118</v>
      </c>
      <c r="I464" t="s">
        <v>867</v>
      </c>
    </row>
    <row r="465" spans="1:9" x14ac:dyDescent="0.2">
      <c r="A465" t="s">
        <v>868</v>
      </c>
      <c r="B465" s="6" t="str">
        <f>HYPERLINK("[#]Feature_Schema_2!A8762:F8762","SHARP_CURVE_P")</f>
        <v>SHARP_CURVE_P</v>
      </c>
      <c r="C465" t="s">
        <v>149</v>
      </c>
      <c r="D465" t="s">
        <v>149</v>
      </c>
      <c r="E465" t="s">
        <v>149</v>
      </c>
      <c r="F465" t="s">
        <v>149</v>
      </c>
      <c r="G465" t="s">
        <v>149</v>
      </c>
      <c r="H465">
        <v>100183</v>
      </c>
      <c r="I465" t="s">
        <v>869</v>
      </c>
    </row>
    <row r="466" spans="1:9" x14ac:dyDescent="0.2">
      <c r="A466" t="s">
        <v>870</v>
      </c>
      <c r="B466" s="6" t="str">
        <f>HYPERLINK("[#]Feature_Schema_2!A8796:F8796","SHEAR_WALL_C")</f>
        <v>SHEAR_WALL_C</v>
      </c>
      <c r="F466" t="s">
        <v>250</v>
      </c>
      <c r="G466" t="s">
        <v>250</v>
      </c>
      <c r="H466">
        <v>100002</v>
      </c>
      <c r="I466" t="s">
        <v>871</v>
      </c>
    </row>
    <row r="467" spans="1:9" x14ac:dyDescent="0.2">
      <c r="A467" t="s">
        <v>872</v>
      </c>
      <c r="B467" s="6" t="str">
        <f>HYPERLINK("[#]Feature_Schema_2!A8835:F8835","SHED_P")</f>
        <v>SHED_P</v>
      </c>
      <c r="C467" t="s">
        <v>100</v>
      </c>
      <c r="D467" t="s">
        <v>100</v>
      </c>
      <c r="E467" t="s">
        <v>100</v>
      </c>
      <c r="F467" t="s">
        <v>100</v>
      </c>
      <c r="G467" t="s">
        <v>100</v>
      </c>
      <c r="H467">
        <v>100088</v>
      </c>
      <c r="I467" t="s">
        <v>873</v>
      </c>
    </row>
    <row r="468" spans="1:9" x14ac:dyDescent="0.2">
      <c r="A468" t="s">
        <v>872</v>
      </c>
      <c r="B468" s="6" t="str">
        <f>HYPERLINK("[#]Feature_Schema_2!A9455:F9455","SHED_S")</f>
        <v>SHED_S</v>
      </c>
      <c r="E468" t="s">
        <v>102</v>
      </c>
      <c r="F468" t="s">
        <v>102</v>
      </c>
      <c r="G468" t="s">
        <v>102</v>
      </c>
      <c r="H468">
        <v>100088</v>
      </c>
      <c r="I468" t="s">
        <v>874</v>
      </c>
    </row>
    <row r="469" spans="1:9" x14ac:dyDescent="0.2">
      <c r="A469" t="s">
        <v>875</v>
      </c>
      <c r="B469" s="6" t="str">
        <f>HYPERLINK("[#]Feature_Schema_2!A10075:F10075","SHIP_ELEVATOR_C")</f>
        <v>SHIP_ELEVATOR_C</v>
      </c>
      <c r="C469" t="s">
        <v>110</v>
      </c>
      <c r="D469" t="s">
        <v>110</v>
      </c>
      <c r="E469" t="s">
        <v>110</v>
      </c>
      <c r="G469" t="s">
        <v>110</v>
      </c>
      <c r="H469">
        <v>132749</v>
      </c>
      <c r="I469" t="s">
        <v>876</v>
      </c>
    </row>
    <row r="470" spans="1:9" x14ac:dyDescent="0.2">
      <c r="A470" t="s">
        <v>875</v>
      </c>
      <c r="B470" s="6" t="str">
        <f>HYPERLINK("[#]Feature_Schema_2!A10172:F10172","SHIP_ELEVATOR_P")</f>
        <v>SHIP_ELEVATOR_P</v>
      </c>
      <c r="C470" t="s">
        <v>112</v>
      </c>
      <c r="D470" t="s">
        <v>112</v>
      </c>
      <c r="E470" t="s">
        <v>112</v>
      </c>
      <c r="G470" t="s">
        <v>112</v>
      </c>
      <c r="H470">
        <v>132749</v>
      </c>
      <c r="I470" t="s">
        <v>877</v>
      </c>
    </row>
    <row r="471" spans="1:9" x14ac:dyDescent="0.2">
      <c r="A471" t="s">
        <v>875</v>
      </c>
      <c r="B471" s="6" t="str">
        <f>HYPERLINK("[#]Feature_Schema_2!A10269:F10269","SHIP_ELEVATOR_S")</f>
        <v>SHIP_ELEVATOR_S</v>
      </c>
      <c r="F471" t="s">
        <v>392</v>
      </c>
      <c r="G471" t="s">
        <v>392</v>
      </c>
      <c r="H471">
        <v>132749</v>
      </c>
      <c r="I471" t="s">
        <v>878</v>
      </c>
    </row>
    <row r="472" spans="1:9" x14ac:dyDescent="0.2">
      <c r="A472" t="s">
        <v>879</v>
      </c>
      <c r="B472" s="6" t="str">
        <f>HYPERLINK("[#]Feature_Schema_2!A10366:F10366","SHIPPING_CONTAINER_P")</f>
        <v>SHIPPING_CONTAINER_P</v>
      </c>
      <c r="F472" t="s">
        <v>440</v>
      </c>
      <c r="G472" t="s">
        <v>440</v>
      </c>
      <c r="H472">
        <v>100132</v>
      </c>
      <c r="I472" t="s">
        <v>880</v>
      </c>
    </row>
    <row r="473" spans="1:9" x14ac:dyDescent="0.2">
      <c r="A473" t="s">
        <v>879</v>
      </c>
      <c r="B473" s="6" t="str">
        <f>HYPERLINK("[#]Feature_Schema_2!A10541:F10541","SHIPPING_CONTAINER_S")</f>
        <v>SHIPPING_CONTAINER_S</v>
      </c>
      <c r="F473" t="s">
        <v>442</v>
      </c>
      <c r="G473" t="s">
        <v>442</v>
      </c>
      <c r="H473">
        <v>100132</v>
      </c>
      <c r="I473" t="s">
        <v>881</v>
      </c>
    </row>
    <row r="474" spans="1:9" x14ac:dyDescent="0.2">
      <c r="A474" t="s">
        <v>882</v>
      </c>
      <c r="B474" s="6" t="str">
        <f>HYPERLINK("[#]Feature_Schema_2!A10716:F10716","SHIPYARD_P")</f>
        <v>SHIPYARD_P</v>
      </c>
      <c r="C474" t="s">
        <v>755</v>
      </c>
      <c r="D474" t="s">
        <v>755</v>
      </c>
      <c r="E474" t="s">
        <v>755</v>
      </c>
      <c r="F474" t="s">
        <v>755</v>
      </c>
      <c r="G474" t="s">
        <v>755</v>
      </c>
      <c r="H474">
        <v>100245</v>
      </c>
      <c r="I474" t="s">
        <v>883</v>
      </c>
    </row>
    <row r="475" spans="1:9" x14ac:dyDescent="0.2">
      <c r="A475" t="s">
        <v>882</v>
      </c>
      <c r="B475" s="6" t="str">
        <f>HYPERLINK("[#]Feature_Schema_2!A10836:F10836","SHIPYARD_S")</f>
        <v>SHIPYARD_S</v>
      </c>
      <c r="C475" t="s">
        <v>346</v>
      </c>
      <c r="D475" t="s">
        <v>346</v>
      </c>
      <c r="E475" t="s">
        <v>346</v>
      </c>
      <c r="F475" t="s">
        <v>346</v>
      </c>
      <c r="G475" t="s">
        <v>346</v>
      </c>
      <c r="H475">
        <v>100245</v>
      </c>
      <c r="I475" t="s">
        <v>884</v>
      </c>
    </row>
    <row r="476" spans="1:9" x14ac:dyDescent="0.2">
      <c r="A476" t="s">
        <v>885</v>
      </c>
      <c r="B476" s="6" t="str">
        <f>HYPERLINK("[#]Feature_Schema_2!A10956:F10956","SHOPPING_COMPLEX_S")</f>
        <v>SHOPPING_COMPLEX_S</v>
      </c>
      <c r="E476" t="s">
        <v>380</v>
      </c>
      <c r="F476" t="s">
        <v>380</v>
      </c>
      <c r="G476" t="s">
        <v>380</v>
      </c>
      <c r="H476">
        <v>100034</v>
      </c>
      <c r="I476" t="s">
        <v>886</v>
      </c>
    </row>
    <row r="477" spans="1:9" x14ac:dyDescent="0.2">
      <c r="A477" t="s">
        <v>887</v>
      </c>
      <c r="B477" s="6" t="str">
        <f>HYPERLINK("[#]Feature_Schema_2!A11248:F11248","SHORELINE_C")</f>
        <v>SHORELINE_C</v>
      </c>
      <c r="E477" t="s">
        <v>118</v>
      </c>
      <c r="F477" t="s">
        <v>118</v>
      </c>
      <c r="G477" t="s">
        <v>118</v>
      </c>
      <c r="H477">
        <v>100216</v>
      </c>
      <c r="I477" t="s">
        <v>888</v>
      </c>
    </row>
    <row r="478" spans="1:9" x14ac:dyDescent="0.2">
      <c r="A478" t="s">
        <v>889</v>
      </c>
      <c r="B478" s="6" t="str">
        <f>HYPERLINK("[#]Feature_Schema_2!A11293:F11293","SHORELINE_CONSTRUCTION_C")</f>
        <v>SHORELINE_CONSTRUCTION_C</v>
      </c>
      <c r="C478" t="s">
        <v>890</v>
      </c>
      <c r="D478" t="s">
        <v>890</v>
      </c>
      <c r="E478" t="s">
        <v>890</v>
      </c>
      <c r="F478" t="s">
        <v>890</v>
      </c>
      <c r="G478" t="s">
        <v>890</v>
      </c>
      <c r="H478">
        <v>100231</v>
      </c>
      <c r="I478" t="s">
        <v>891</v>
      </c>
    </row>
    <row r="479" spans="1:9" x14ac:dyDescent="0.2">
      <c r="A479" t="s">
        <v>889</v>
      </c>
      <c r="B479" s="6" t="str">
        <f>HYPERLINK("[#]Feature_Schema_2!A11469:F11469","SHORELINE_CONSTRUCTION_S")</f>
        <v>SHORELINE_CONSTRUCTION_S</v>
      </c>
      <c r="C479" t="s">
        <v>346</v>
      </c>
      <c r="D479" t="s">
        <v>346</v>
      </c>
      <c r="E479" t="s">
        <v>346</v>
      </c>
      <c r="F479" t="s">
        <v>346</v>
      </c>
      <c r="G479" t="s">
        <v>346</v>
      </c>
      <c r="H479">
        <v>100231</v>
      </c>
      <c r="I479" t="s">
        <v>892</v>
      </c>
    </row>
    <row r="480" spans="1:9" x14ac:dyDescent="0.2">
      <c r="A480" t="s">
        <v>893</v>
      </c>
      <c r="B480" s="6" t="str">
        <f>HYPERLINK("[#]Feature_Schema_2!A11645:F11645","SHORELINE_RAMP_C")</f>
        <v>SHORELINE_RAMP_C</v>
      </c>
      <c r="D480" t="s">
        <v>890</v>
      </c>
      <c r="E480" t="s">
        <v>890</v>
      </c>
      <c r="F480" t="s">
        <v>890</v>
      </c>
      <c r="G480" t="s">
        <v>890</v>
      </c>
      <c r="H480">
        <v>100232</v>
      </c>
      <c r="I480" t="s">
        <v>894</v>
      </c>
    </row>
    <row r="481" spans="1:9" x14ac:dyDescent="0.2">
      <c r="A481" t="s">
        <v>893</v>
      </c>
      <c r="B481" s="6" t="str">
        <f>HYPERLINK("[#]Feature_Schema_2!A11749:F11749","SHORELINE_RAMP_S")</f>
        <v>SHORELINE_RAMP_S</v>
      </c>
      <c r="D481" t="s">
        <v>346</v>
      </c>
      <c r="E481" t="s">
        <v>346</v>
      </c>
      <c r="F481" t="s">
        <v>346</v>
      </c>
      <c r="G481" t="s">
        <v>346</v>
      </c>
      <c r="H481">
        <v>100232</v>
      </c>
      <c r="I481" t="s">
        <v>895</v>
      </c>
    </row>
    <row r="482" spans="1:9" x14ac:dyDescent="0.2">
      <c r="A482" t="s">
        <v>896</v>
      </c>
      <c r="B482" s="6" t="str">
        <f>HYPERLINK("[#]Feature_Schema_2!A11853:F11853","SIDEWALK_C")</f>
        <v>SIDEWALK_C</v>
      </c>
      <c r="F482" t="s">
        <v>87</v>
      </c>
      <c r="G482" t="s">
        <v>87</v>
      </c>
      <c r="H482">
        <v>100159</v>
      </c>
      <c r="I482" t="s">
        <v>897</v>
      </c>
    </row>
    <row r="483" spans="1:9" x14ac:dyDescent="0.2">
      <c r="A483" t="s">
        <v>898</v>
      </c>
      <c r="B483" s="6" t="str">
        <f>HYPERLINK("[#]Feature_Schema_2!A11948:F11948","SKI_JUMP_C")</f>
        <v>SKI_JUMP_C</v>
      </c>
      <c r="E483" t="s">
        <v>42</v>
      </c>
      <c r="F483" t="s">
        <v>42</v>
      </c>
      <c r="G483" t="s">
        <v>42</v>
      </c>
      <c r="H483">
        <v>100072</v>
      </c>
      <c r="I483" t="s">
        <v>899</v>
      </c>
    </row>
    <row r="484" spans="1:9" x14ac:dyDescent="0.2">
      <c r="A484" t="s">
        <v>898</v>
      </c>
      <c r="B484" s="6" t="str">
        <f>HYPERLINK("[#]Feature_Schema_2!A12017:F12017","SKI_JUMP_P")</f>
        <v>SKI_JUMP_P</v>
      </c>
      <c r="C484" t="s">
        <v>37</v>
      </c>
      <c r="D484" t="s">
        <v>37</v>
      </c>
      <c r="E484" t="s">
        <v>37</v>
      </c>
      <c r="F484" t="s">
        <v>37</v>
      </c>
      <c r="G484" t="s">
        <v>37</v>
      </c>
      <c r="H484">
        <v>100072</v>
      </c>
      <c r="I484" t="s">
        <v>900</v>
      </c>
    </row>
    <row r="485" spans="1:9" x14ac:dyDescent="0.2">
      <c r="A485" t="s">
        <v>901</v>
      </c>
      <c r="B485" s="6" t="str">
        <f>HYPERLINK("[#]Feature_Schema_2!A12086:F12086","SKI_RUN_C")</f>
        <v>SKI_RUN_C</v>
      </c>
      <c r="F485" t="s">
        <v>42</v>
      </c>
      <c r="G485" t="s">
        <v>42</v>
      </c>
      <c r="H485">
        <v>100073</v>
      </c>
      <c r="I485" t="s">
        <v>902</v>
      </c>
    </row>
    <row r="486" spans="1:9" x14ac:dyDescent="0.2">
      <c r="A486" t="s">
        <v>901</v>
      </c>
      <c r="B486" s="6" t="str">
        <f>HYPERLINK("[#]Feature_Schema_2!A12143:F12143","SKI_RUN_S")</f>
        <v>SKI_RUN_S</v>
      </c>
      <c r="F486" t="s">
        <v>39</v>
      </c>
      <c r="G486" t="s">
        <v>39</v>
      </c>
      <c r="H486">
        <v>100073</v>
      </c>
      <c r="I486" t="s">
        <v>903</v>
      </c>
    </row>
    <row r="487" spans="1:9" x14ac:dyDescent="0.2">
      <c r="A487" t="s">
        <v>904</v>
      </c>
      <c r="B487" s="6" t="str">
        <f>HYPERLINK("[#]Feature_Schema_2!A12200:F12200","SLOPE_REGION_S")</f>
        <v>SLOPE_REGION_S</v>
      </c>
      <c r="D487" t="s">
        <v>121</v>
      </c>
      <c r="E487" t="s">
        <v>121</v>
      </c>
      <c r="F487" t="s">
        <v>121</v>
      </c>
      <c r="G487" t="s">
        <v>121</v>
      </c>
      <c r="H487">
        <v>100460</v>
      </c>
      <c r="I487" t="s">
        <v>905</v>
      </c>
    </row>
    <row r="488" spans="1:9" x14ac:dyDescent="0.2">
      <c r="A488" t="s">
        <v>906</v>
      </c>
      <c r="B488" s="6" t="str">
        <f>HYPERLINK("[#]Feature_Schema_2!A12234:F12234","SLUICE_GATE_C")</f>
        <v>SLUICE_GATE_C</v>
      </c>
      <c r="E488" t="s">
        <v>79</v>
      </c>
      <c r="F488" t="s">
        <v>79</v>
      </c>
      <c r="G488" t="s">
        <v>79</v>
      </c>
      <c r="H488">
        <v>100334</v>
      </c>
      <c r="I488" t="s">
        <v>907</v>
      </c>
    </row>
    <row r="489" spans="1:9" x14ac:dyDescent="0.2">
      <c r="A489" t="s">
        <v>906</v>
      </c>
      <c r="B489" s="6" t="str">
        <f>HYPERLINK("[#]Feature_Schema_2!A12315:F12315","SLUICE_GATE_P")</f>
        <v>SLUICE_GATE_P</v>
      </c>
      <c r="C489" t="s">
        <v>233</v>
      </c>
      <c r="D489" t="s">
        <v>233</v>
      </c>
      <c r="E489" t="s">
        <v>233</v>
      </c>
      <c r="F489" t="s">
        <v>233</v>
      </c>
      <c r="G489" t="s">
        <v>233</v>
      </c>
      <c r="H489">
        <v>100334</v>
      </c>
      <c r="I489" t="s">
        <v>908</v>
      </c>
    </row>
    <row r="490" spans="1:9" x14ac:dyDescent="0.2">
      <c r="A490" t="s">
        <v>909</v>
      </c>
      <c r="B490" s="6" t="str">
        <f>HYPERLINK("[#]Feature_Schema_2!A12396:F12396","SMALL_CRAFT_FACILITY_P")</f>
        <v>SMALL_CRAFT_FACILITY_P</v>
      </c>
      <c r="F490" t="s">
        <v>755</v>
      </c>
      <c r="G490" t="s">
        <v>755</v>
      </c>
      <c r="H490">
        <v>100244</v>
      </c>
      <c r="I490" t="s">
        <v>910</v>
      </c>
    </row>
    <row r="491" spans="1:9" x14ac:dyDescent="0.2">
      <c r="A491" t="s">
        <v>909</v>
      </c>
      <c r="B491" s="6" t="str">
        <f>HYPERLINK("[#]Feature_Schema_2!A12532:F12532","SMALL_CRAFT_FACILITY_S")</f>
        <v>SMALL_CRAFT_FACILITY_S</v>
      </c>
      <c r="F491" t="s">
        <v>346</v>
      </c>
      <c r="G491" t="s">
        <v>346</v>
      </c>
      <c r="H491">
        <v>100244</v>
      </c>
      <c r="I491" t="s">
        <v>911</v>
      </c>
    </row>
    <row r="492" spans="1:9" x14ac:dyDescent="0.2">
      <c r="A492" t="s">
        <v>912</v>
      </c>
      <c r="B492" s="6" t="str">
        <f>HYPERLINK("[#]Feature_Schema_2!A12668:F12668","SMOKESTACK_P")</f>
        <v>SMOKESTACK_P</v>
      </c>
      <c r="C492" t="s">
        <v>20</v>
      </c>
      <c r="D492" t="s">
        <v>20</v>
      </c>
      <c r="E492" t="s">
        <v>20</v>
      </c>
      <c r="F492" t="s">
        <v>20</v>
      </c>
      <c r="G492" t="s">
        <v>20</v>
      </c>
      <c r="H492">
        <v>100025</v>
      </c>
      <c r="I492" t="s">
        <v>913</v>
      </c>
    </row>
    <row r="493" spans="1:9" x14ac:dyDescent="0.2">
      <c r="A493" t="s">
        <v>914</v>
      </c>
      <c r="B493" s="6" t="str">
        <f>HYPERLINK("[#]Feature_Schema_2!A12769:F12769","SNAG_P")</f>
        <v>SNAG_P</v>
      </c>
      <c r="E493" t="s">
        <v>233</v>
      </c>
      <c r="F493" t="s">
        <v>233</v>
      </c>
      <c r="G493" t="s">
        <v>233</v>
      </c>
      <c r="H493">
        <v>100277</v>
      </c>
      <c r="I493" t="s">
        <v>915</v>
      </c>
    </row>
    <row r="494" spans="1:9" x14ac:dyDescent="0.2">
      <c r="A494" t="s">
        <v>914</v>
      </c>
      <c r="B494" s="6" t="str">
        <f>HYPERLINK("[#]Feature_Schema_2!A12807:F12807","SNAG_S")</f>
        <v>SNAG_S</v>
      </c>
      <c r="E494" t="s">
        <v>81</v>
      </c>
      <c r="F494" t="s">
        <v>81</v>
      </c>
      <c r="G494" t="s">
        <v>81</v>
      </c>
      <c r="H494">
        <v>100277</v>
      </c>
      <c r="I494" t="s">
        <v>916</v>
      </c>
    </row>
    <row r="495" spans="1:9" x14ac:dyDescent="0.2">
      <c r="A495" t="s">
        <v>917</v>
      </c>
      <c r="B495" s="6" t="str">
        <f>HYPERLINK("[#]Feature_Schema_2!A12845:F12845","SNOW_ICE_FIELD_S")</f>
        <v>SNOW_ICE_FIELD_S</v>
      </c>
      <c r="C495" t="s">
        <v>97</v>
      </c>
      <c r="D495" t="s">
        <v>97</v>
      </c>
      <c r="E495" t="s">
        <v>97</v>
      </c>
      <c r="F495" t="s">
        <v>97</v>
      </c>
      <c r="G495" t="s">
        <v>97</v>
      </c>
      <c r="H495">
        <v>100349</v>
      </c>
      <c r="I495" t="s">
        <v>918</v>
      </c>
    </row>
    <row r="496" spans="1:9" x14ac:dyDescent="0.2">
      <c r="A496" t="s">
        <v>919</v>
      </c>
      <c r="B496" s="6" t="str">
        <f>HYPERLINK("[#]Feature_Schema_2!A12914:F12914","SOIL_SURFACE_REGION_S")</f>
        <v>SOIL_SURFACE_REGION_S</v>
      </c>
      <c r="C496" t="s">
        <v>97</v>
      </c>
      <c r="D496" t="s">
        <v>97</v>
      </c>
      <c r="E496" t="s">
        <v>97</v>
      </c>
      <c r="F496" t="s">
        <v>97</v>
      </c>
      <c r="G496" t="s">
        <v>97</v>
      </c>
      <c r="H496">
        <v>100358</v>
      </c>
      <c r="I496" t="s">
        <v>920</v>
      </c>
    </row>
    <row r="497" spans="1:9" x14ac:dyDescent="0.2">
      <c r="A497" t="s">
        <v>921</v>
      </c>
      <c r="B497" s="6" t="str">
        <f>HYPERLINK("[#]Feature_Schema_2!A13084:F13084","SOLAR_FARM_P")</f>
        <v>SOLAR_FARM_P</v>
      </c>
      <c r="C497" t="s">
        <v>20</v>
      </c>
      <c r="D497" t="s">
        <v>20</v>
      </c>
      <c r="E497" t="s">
        <v>20</v>
      </c>
      <c r="F497" t="s">
        <v>20</v>
      </c>
      <c r="G497" t="s">
        <v>20</v>
      </c>
      <c r="H497">
        <v>100020</v>
      </c>
      <c r="I497" t="s">
        <v>922</v>
      </c>
    </row>
    <row r="498" spans="1:9" x14ac:dyDescent="0.2">
      <c r="A498" t="s">
        <v>921</v>
      </c>
      <c r="B498" s="6" t="str">
        <f>HYPERLINK("[#]Feature_Schema_2!A13196:F13196","SOLAR_FARM_S")</f>
        <v>SOLAR_FARM_S</v>
      </c>
      <c r="C498" t="s">
        <v>22</v>
      </c>
      <c r="D498" t="s">
        <v>22</v>
      </c>
      <c r="E498" t="s">
        <v>22</v>
      </c>
      <c r="F498" t="s">
        <v>22</v>
      </c>
      <c r="G498" t="s">
        <v>22</v>
      </c>
      <c r="H498">
        <v>100020</v>
      </c>
      <c r="I498" t="s">
        <v>923</v>
      </c>
    </row>
    <row r="499" spans="1:9" x14ac:dyDescent="0.2">
      <c r="A499" t="s">
        <v>924</v>
      </c>
      <c r="B499" s="6" t="str">
        <f>HYPERLINK("[#]Feature_Schema_2!A13308:F13308","SOLAR_PANEL_P")</f>
        <v>SOLAR_PANEL_P</v>
      </c>
      <c r="E499" t="s">
        <v>20</v>
      </c>
      <c r="F499" t="s">
        <v>20</v>
      </c>
      <c r="G499" t="s">
        <v>20</v>
      </c>
      <c r="H499">
        <v>100019</v>
      </c>
      <c r="I499" t="s">
        <v>925</v>
      </c>
    </row>
    <row r="500" spans="1:9" x14ac:dyDescent="0.2">
      <c r="A500" t="s">
        <v>924</v>
      </c>
      <c r="B500" s="6" t="str">
        <f>HYPERLINK("[#]Feature_Schema_2!A13381:F13381","SOLAR_PANEL_S")</f>
        <v>SOLAR_PANEL_S</v>
      </c>
      <c r="F500" t="s">
        <v>22</v>
      </c>
      <c r="G500" t="s">
        <v>22</v>
      </c>
      <c r="H500">
        <v>100019</v>
      </c>
      <c r="I500" t="s">
        <v>926</v>
      </c>
    </row>
    <row r="501" spans="1:9" x14ac:dyDescent="0.2">
      <c r="A501" t="s">
        <v>927</v>
      </c>
      <c r="B501" s="6" t="str">
        <f>HYPERLINK("[#]Feature_Schema_2!A13454:F13454","SOUNDING_P")</f>
        <v>SOUNDING_P</v>
      </c>
      <c r="E501" t="s">
        <v>71</v>
      </c>
      <c r="F501" t="s">
        <v>71</v>
      </c>
      <c r="G501" t="s">
        <v>71</v>
      </c>
      <c r="H501">
        <v>100283</v>
      </c>
      <c r="I501" t="s">
        <v>928</v>
      </c>
    </row>
    <row r="502" spans="1:9" x14ac:dyDescent="0.2">
      <c r="A502" t="s">
        <v>929</v>
      </c>
      <c r="B502" s="6" t="str">
        <f>HYPERLINK("[#]Feature_Schema_2!A13597:F13597","SPACE_FACILITY_P")</f>
        <v>SPACE_FACILITY_P</v>
      </c>
      <c r="C502" t="s">
        <v>32</v>
      </c>
      <c r="D502" t="s">
        <v>32</v>
      </c>
      <c r="G502" t="s">
        <v>32</v>
      </c>
      <c r="H502">
        <v>100126</v>
      </c>
      <c r="I502" t="s">
        <v>930</v>
      </c>
    </row>
    <row r="503" spans="1:9" x14ac:dyDescent="0.2">
      <c r="A503" t="s">
        <v>929</v>
      </c>
      <c r="B503" s="6" t="str">
        <f>HYPERLINK("[#]Feature_Schema_2!A13700:F13700","SPACE_FACILITY_S")</f>
        <v>SPACE_FACILITY_S</v>
      </c>
      <c r="C503" t="s">
        <v>34</v>
      </c>
      <c r="D503" t="s">
        <v>34</v>
      </c>
      <c r="E503" t="s">
        <v>34</v>
      </c>
      <c r="F503" t="s">
        <v>34</v>
      </c>
      <c r="G503" t="s">
        <v>34</v>
      </c>
      <c r="H503">
        <v>100126</v>
      </c>
      <c r="I503" t="s">
        <v>931</v>
      </c>
    </row>
    <row r="504" spans="1:9" x14ac:dyDescent="0.2">
      <c r="A504" t="s">
        <v>932</v>
      </c>
      <c r="B504" s="6" t="str">
        <f>HYPERLINK("[#]Feature_Schema_2!A13803:F13803","SPILLWAY_C")</f>
        <v>SPILLWAY_C</v>
      </c>
      <c r="E504" t="s">
        <v>79</v>
      </c>
      <c r="F504" t="s">
        <v>79</v>
      </c>
      <c r="G504" t="s">
        <v>79</v>
      </c>
      <c r="H504">
        <v>100319</v>
      </c>
      <c r="I504" t="s">
        <v>933</v>
      </c>
    </row>
    <row r="505" spans="1:9" x14ac:dyDescent="0.2">
      <c r="A505" t="s">
        <v>932</v>
      </c>
      <c r="B505" s="6" t="str">
        <f>HYPERLINK("[#]Feature_Schema_2!A13892:F13892","SPILLWAY_S")</f>
        <v>SPILLWAY_S</v>
      </c>
      <c r="E505" t="s">
        <v>81</v>
      </c>
      <c r="F505" t="s">
        <v>81</v>
      </c>
      <c r="G505" t="s">
        <v>81</v>
      </c>
      <c r="H505">
        <v>100319</v>
      </c>
      <c r="I505" t="s">
        <v>934</v>
      </c>
    </row>
    <row r="506" spans="1:9" x14ac:dyDescent="0.2">
      <c r="A506" t="s">
        <v>935</v>
      </c>
      <c r="B506" s="6" t="str">
        <f>HYPERLINK("[#]Feature_Schema_2!A13981:F13981","SPORTS_GROUND_P")</f>
        <v>SPORTS_GROUND_P</v>
      </c>
      <c r="C506" t="s">
        <v>37</v>
      </c>
      <c r="D506" t="s">
        <v>37</v>
      </c>
      <c r="G506" t="s">
        <v>37</v>
      </c>
      <c r="H506">
        <v>100055</v>
      </c>
      <c r="I506" t="s">
        <v>936</v>
      </c>
    </row>
    <row r="507" spans="1:9" x14ac:dyDescent="0.2">
      <c r="A507" t="s">
        <v>935</v>
      </c>
      <c r="B507" s="6" t="str">
        <f>HYPERLINK("[#]Feature_Schema_2!A14038:F14038","SPORTS_GROUND_S")</f>
        <v>SPORTS_GROUND_S</v>
      </c>
      <c r="C507" t="s">
        <v>39</v>
      </c>
      <c r="D507" t="s">
        <v>39</v>
      </c>
      <c r="E507" t="s">
        <v>39</v>
      </c>
      <c r="F507" t="s">
        <v>39</v>
      </c>
      <c r="G507" t="s">
        <v>39</v>
      </c>
      <c r="H507">
        <v>100055</v>
      </c>
      <c r="I507" t="s">
        <v>937</v>
      </c>
    </row>
    <row r="508" spans="1:9" x14ac:dyDescent="0.2">
      <c r="A508" t="s">
        <v>938</v>
      </c>
      <c r="B508" s="6" t="str">
        <f>HYPERLINK("[#]Feature_Schema_2!A14095:F14095","SPOT_ELEVATION_P")</f>
        <v>SPOT_ELEVATION_P</v>
      </c>
      <c r="C508" t="s">
        <v>939</v>
      </c>
      <c r="D508" t="s">
        <v>939</v>
      </c>
      <c r="E508" t="s">
        <v>939</v>
      </c>
      <c r="F508" t="s">
        <v>939</v>
      </c>
      <c r="G508" t="s">
        <v>939</v>
      </c>
      <c r="H508">
        <v>100355</v>
      </c>
      <c r="I508" t="s">
        <v>940</v>
      </c>
    </row>
    <row r="509" spans="1:9" x14ac:dyDescent="0.2">
      <c r="A509" t="s">
        <v>941</v>
      </c>
      <c r="B509" s="6" t="str">
        <f>HYPERLINK("[#]Feature_Schema_2!A14136:F14136","STABLE_P")</f>
        <v>STABLE_P</v>
      </c>
      <c r="F509" t="s">
        <v>105</v>
      </c>
      <c r="G509" t="s">
        <v>105</v>
      </c>
      <c r="H509">
        <v>100049</v>
      </c>
      <c r="I509" t="s">
        <v>942</v>
      </c>
    </row>
    <row r="510" spans="1:9" x14ac:dyDescent="0.2">
      <c r="A510" t="s">
        <v>941</v>
      </c>
      <c r="B510" s="6" t="str">
        <f>HYPERLINK("[#]Feature_Schema_2!A14308:F14308","STABLE_S")</f>
        <v>STABLE_S</v>
      </c>
      <c r="F510" t="s">
        <v>107</v>
      </c>
      <c r="G510" t="s">
        <v>107</v>
      </c>
      <c r="H510">
        <v>100049</v>
      </c>
      <c r="I510" t="s">
        <v>943</v>
      </c>
    </row>
    <row r="511" spans="1:9" x14ac:dyDescent="0.2">
      <c r="A511" t="s">
        <v>944</v>
      </c>
      <c r="B511" s="6" t="str">
        <f>HYPERLINK("[#]Feature_Schema_2!A14480:F14480","STADIUM_P")</f>
        <v>STADIUM_P</v>
      </c>
      <c r="C511" t="s">
        <v>37</v>
      </c>
      <c r="D511" t="s">
        <v>37</v>
      </c>
      <c r="E511" t="s">
        <v>37</v>
      </c>
      <c r="F511" t="s">
        <v>37</v>
      </c>
      <c r="G511" t="s">
        <v>37</v>
      </c>
      <c r="H511">
        <v>154703</v>
      </c>
      <c r="I511" t="s">
        <v>945</v>
      </c>
    </row>
    <row r="512" spans="1:9" x14ac:dyDescent="0.2">
      <c r="A512" t="s">
        <v>944</v>
      </c>
      <c r="B512" s="6" t="str">
        <f>HYPERLINK("[#]Feature_Schema_2!A14625:F14625","STADIUM_S")</f>
        <v>STADIUM_S</v>
      </c>
      <c r="C512" t="s">
        <v>39</v>
      </c>
      <c r="D512" t="s">
        <v>39</v>
      </c>
      <c r="E512" t="s">
        <v>39</v>
      </c>
      <c r="F512" t="s">
        <v>39</v>
      </c>
      <c r="G512" t="s">
        <v>39</v>
      </c>
      <c r="H512">
        <v>154703</v>
      </c>
      <c r="I512" t="s">
        <v>946</v>
      </c>
    </row>
    <row r="513" spans="1:11" x14ac:dyDescent="0.2">
      <c r="A513" t="s">
        <v>947</v>
      </c>
      <c r="B513" s="6" t="str">
        <f>HYPERLINK("[#]Feature_Schema_2!A14770:F14770","STAIR_C")</f>
        <v>STAIR_C</v>
      </c>
      <c r="F513" t="s">
        <v>171</v>
      </c>
      <c r="G513" t="s">
        <v>171</v>
      </c>
      <c r="H513">
        <v>100191</v>
      </c>
      <c r="I513" t="s">
        <v>948</v>
      </c>
    </row>
    <row r="514" spans="1:11" x14ac:dyDescent="0.2">
      <c r="A514" t="s">
        <v>947</v>
      </c>
      <c r="B514" s="6" t="str">
        <f>HYPERLINK("[#]Feature_Schema_2!A14825:F14825","STAIR_S")</f>
        <v>STAIR_S</v>
      </c>
      <c r="F514" t="s">
        <v>102</v>
      </c>
      <c r="G514" t="s">
        <v>102</v>
      </c>
      <c r="H514">
        <v>100191</v>
      </c>
      <c r="I514" t="s">
        <v>949</v>
      </c>
    </row>
    <row r="515" spans="1:11" x14ac:dyDescent="0.2">
      <c r="A515" t="s">
        <v>950</v>
      </c>
      <c r="B515" s="7" t="str">
        <f>HYPERLINK("[#]Feature_Schema_2!A14880:F14880","STANDPIPE_P")</f>
        <v>STANDPIPE_P</v>
      </c>
      <c r="E515" t="s">
        <v>767</v>
      </c>
      <c r="F515" t="s">
        <v>767</v>
      </c>
      <c r="G515" t="s">
        <v>767</v>
      </c>
      <c r="H515">
        <v>110</v>
      </c>
      <c r="I515" t="s">
        <v>951</v>
      </c>
      <c r="K515" t="s">
        <v>1141</v>
      </c>
    </row>
    <row r="516" spans="1:11" x14ac:dyDescent="0.2">
      <c r="A516" t="s">
        <v>952</v>
      </c>
      <c r="B516" s="6" t="str">
        <f>HYPERLINK("[#]Feature_Schema_2!A14996:F14996","STEEP_GRADE_C")</f>
        <v>STEEP_GRADE_C</v>
      </c>
      <c r="C516" t="s">
        <v>87</v>
      </c>
      <c r="D516" t="s">
        <v>87</v>
      </c>
      <c r="E516" t="s">
        <v>87</v>
      </c>
      <c r="F516" t="s">
        <v>87</v>
      </c>
      <c r="G516" t="s">
        <v>87</v>
      </c>
      <c r="H516">
        <v>100185</v>
      </c>
      <c r="I516" t="s">
        <v>953</v>
      </c>
    </row>
    <row r="517" spans="1:11" x14ac:dyDescent="0.2">
      <c r="A517" t="s">
        <v>954</v>
      </c>
      <c r="B517" s="6" t="str">
        <f>HYPERLINK("[#]Feature_Schema_2!A15052:F15052","STEEP_TERRAIN_FACE_C")</f>
        <v>STEEP_TERRAIN_FACE_C</v>
      </c>
      <c r="C517" t="s">
        <v>269</v>
      </c>
      <c r="D517" t="s">
        <v>269</v>
      </c>
      <c r="E517" t="s">
        <v>269</v>
      </c>
      <c r="F517" t="s">
        <v>269</v>
      </c>
      <c r="G517" t="s">
        <v>269</v>
      </c>
      <c r="H517">
        <v>100362</v>
      </c>
      <c r="I517" t="s">
        <v>955</v>
      </c>
    </row>
    <row r="518" spans="1:11" x14ac:dyDescent="0.2">
      <c r="A518" t="s">
        <v>956</v>
      </c>
      <c r="B518" s="6" t="str">
        <f>HYPERLINK("[#]Feature_Schema_2!A15106:F15106","STOPWAY_S")</f>
        <v>STOPWAY_S</v>
      </c>
      <c r="C518" t="s">
        <v>34</v>
      </c>
      <c r="D518" t="s">
        <v>34</v>
      </c>
      <c r="E518" t="s">
        <v>34</v>
      </c>
      <c r="F518" t="s">
        <v>34</v>
      </c>
      <c r="G518" t="s">
        <v>34</v>
      </c>
      <c r="H518">
        <v>100444</v>
      </c>
      <c r="I518" t="s">
        <v>957</v>
      </c>
    </row>
    <row r="519" spans="1:11" x14ac:dyDescent="0.2">
      <c r="A519" t="s">
        <v>958</v>
      </c>
      <c r="B519" s="6" t="str">
        <f>HYPERLINK("[#]Feature_Schema_2!A15230:F15230","STORAGE_DEPOT_P")</f>
        <v>STORAGE_DEPOT_P</v>
      </c>
      <c r="C519" t="s">
        <v>440</v>
      </c>
      <c r="D519" t="s">
        <v>440</v>
      </c>
      <c r="E519" t="s">
        <v>440</v>
      </c>
      <c r="F519" t="s">
        <v>440</v>
      </c>
      <c r="G519" t="s">
        <v>440</v>
      </c>
      <c r="H519">
        <v>100131</v>
      </c>
      <c r="I519" t="s">
        <v>959</v>
      </c>
    </row>
    <row r="520" spans="1:11" x14ac:dyDescent="0.2">
      <c r="A520" t="s">
        <v>958</v>
      </c>
      <c r="B520" s="6" t="str">
        <f>HYPERLINK("[#]Feature_Schema_2!A15432:F15432","STORAGE_DEPOT_S")</f>
        <v>STORAGE_DEPOT_S</v>
      </c>
      <c r="C520" t="s">
        <v>442</v>
      </c>
      <c r="D520" t="s">
        <v>442</v>
      </c>
      <c r="E520" t="s">
        <v>442</v>
      </c>
      <c r="F520" t="s">
        <v>442</v>
      </c>
      <c r="G520" t="s">
        <v>442</v>
      </c>
      <c r="H520">
        <v>100131</v>
      </c>
      <c r="I520" t="s">
        <v>960</v>
      </c>
    </row>
    <row r="521" spans="1:11" x14ac:dyDescent="0.2">
      <c r="A521" t="s">
        <v>961</v>
      </c>
      <c r="B521" s="6" t="str">
        <f>HYPERLINK("[#]Feature_Schema_2!A15634:F15634","STORAGE_TANK_AON_S")</f>
        <v>STORAGE_TANK_AON_S</v>
      </c>
      <c r="E521" t="s">
        <v>962</v>
      </c>
      <c r="G521" t="s">
        <v>962</v>
      </c>
      <c r="H521">
        <v>210</v>
      </c>
      <c r="I521" t="s">
        <v>963</v>
      </c>
    </row>
    <row r="522" spans="1:11" x14ac:dyDescent="0.2">
      <c r="A522" t="s">
        <v>964</v>
      </c>
      <c r="B522" s="6" t="str">
        <f>HYPERLINK("[#]Feature_Schema_2!A15899:F15899","STORAGE_TANK_P")</f>
        <v>STORAGE_TANK_P</v>
      </c>
      <c r="C522" t="s">
        <v>440</v>
      </c>
      <c r="D522" t="s">
        <v>440</v>
      </c>
      <c r="E522" t="s">
        <v>440</v>
      </c>
      <c r="F522" t="s">
        <v>440</v>
      </c>
      <c r="G522" t="s">
        <v>440</v>
      </c>
      <c r="H522">
        <v>100139</v>
      </c>
      <c r="I522" t="s">
        <v>965</v>
      </c>
    </row>
    <row r="523" spans="1:11" x14ac:dyDescent="0.2">
      <c r="A523" t="s">
        <v>964</v>
      </c>
      <c r="B523" s="6" t="str">
        <f>HYPERLINK("[#]Feature_Schema_2!A16172:F16172","STORAGE_TANK_S")</f>
        <v>STORAGE_TANK_S</v>
      </c>
      <c r="E523" t="s">
        <v>442</v>
      </c>
      <c r="F523" t="s">
        <v>442</v>
      </c>
      <c r="G523" t="s">
        <v>442</v>
      </c>
      <c r="H523">
        <v>100139</v>
      </c>
      <c r="I523" t="s">
        <v>966</v>
      </c>
    </row>
    <row r="524" spans="1:11" x14ac:dyDescent="0.2">
      <c r="A524" t="s">
        <v>967</v>
      </c>
      <c r="B524" s="6" t="str">
        <f>HYPERLINK("[#]Feature_Schema_2!A16445:F16445","STORM_DRAIN_P")</f>
        <v>STORM_DRAIN_P</v>
      </c>
      <c r="F524" t="s">
        <v>20</v>
      </c>
      <c r="G524" t="s">
        <v>20</v>
      </c>
      <c r="H524">
        <v>100180</v>
      </c>
      <c r="I524" t="s">
        <v>968</v>
      </c>
    </row>
    <row r="525" spans="1:11" x14ac:dyDescent="0.2">
      <c r="A525" t="s">
        <v>969</v>
      </c>
      <c r="B525" s="6" t="str">
        <f>HYPERLINK("[#]Feature_Schema_2!A16522:F16522","STREET_LAMP_P")</f>
        <v>STREET_LAMP_P</v>
      </c>
      <c r="F525" t="s">
        <v>149</v>
      </c>
      <c r="G525" t="s">
        <v>149</v>
      </c>
      <c r="H525">
        <v>100195</v>
      </c>
      <c r="I525" t="s">
        <v>970</v>
      </c>
    </row>
    <row r="526" spans="1:11" x14ac:dyDescent="0.2">
      <c r="A526" t="s">
        <v>971</v>
      </c>
      <c r="B526" s="6" t="str">
        <f>HYPERLINK("[#]Feature_Schema_2!A16575:F16575","STREET_SIGN_P")</f>
        <v>STREET_SIGN_P</v>
      </c>
      <c r="C526" t="s">
        <v>149</v>
      </c>
      <c r="D526" t="s">
        <v>149</v>
      </c>
      <c r="E526" t="s">
        <v>149</v>
      </c>
      <c r="F526" t="s">
        <v>149</v>
      </c>
      <c r="G526" t="s">
        <v>149</v>
      </c>
      <c r="H526">
        <v>100196</v>
      </c>
      <c r="I526" t="s">
        <v>972</v>
      </c>
    </row>
    <row r="527" spans="1:11" x14ac:dyDescent="0.2">
      <c r="A527" t="s">
        <v>973</v>
      </c>
      <c r="B527" s="6" t="str">
        <f>HYPERLINK("[#]Feature_Schema_2!A16678:F16678","STRUCTURAL_PILE_P")</f>
        <v>STRUCTURAL_PILE_P</v>
      </c>
      <c r="E527" t="s">
        <v>755</v>
      </c>
      <c r="F527" t="s">
        <v>755</v>
      </c>
      <c r="G527" t="s">
        <v>755</v>
      </c>
      <c r="H527">
        <v>100271</v>
      </c>
      <c r="I527" t="s">
        <v>974</v>
      </c>
    </row>
    <row r="528" spans="1:11" x14ac:dyDescent="0.2">
      <c r="A528" t="s">
        <v>973</v>
      </c>
      <c r="B528" s="6" t="str">
        <f>HYPERLINK("[#]Feature_Schema_2!A16771:F16771","STRUCTURAL_PILE_S")</f>
        <v>STRUCTURAL_PILE_S</v>
      </c>
      <c r="E528" t="s">
        <v>346</v>
      </c>
      <c r="F528" t="s">
        <v>346</v>
      </c>
      <c r="G528" t="s">
        <v>346</v>
      </c>
      <c r="H528">
        <v>100271</v>
      </c>
      <c r="I528" t="s">
        <v>975</v>
      </c>
    </row>
    <row r="529" spans="1:9" x14ac:dyDescent="0.2">
      <c r="A529" t="s">
        <v>976</v>
      </c>
      <c r="B529" s="6" t="str">
        <f>HYPERLINK("[#]Feature_Schema_2!A16864:F16864","SURFACE_BUNKER_P")</f>
        <v>SURFACE_BUNKER_P</v>
      </c>
      <c r="C529" t="s">
        <v>208</v>
      </c>
      <c r="D529" t="s">
        <v>208</v>
      </c>
      <c r="E529" t="s">
        <v>208</v>
      </c>
      <c r="F529" t="s">
        <v>208</v>
      </c>
      <c r="G529" t="s">
        <v>208</v>
      </c>
      <c r="H529">
        <v>100137</v>
      </c>
      <c r="I529" t="s">
        <v>977</v>
      </c>
    </row>
    <row r="530" spans="1:9" x14ac:dyDescent="0.2">
      <c r="A530" t="s">
        <v>976</v>
      </c>
      <c r="B530" s="6" t="str">
        <f>HYPERLINK("[#]Feature_Schema_2!A16974:F16974","SURFACE_BUNKER_S")</f>
        <v>SURFACE_BUNKER_S</v>
      </c>
      <c r="C530" t="s">
        <v>201</v>
      </c>
      <c r="D530" t="s">
        <v>201</v>
      </c>
      <c r="E530" t="s">
        <v>201</v>
      </c>
      <c r="F530" t="s">
        <v>201</v>
      </c>
      <c r="G530" t="s">
        <v>201</v>
      </c>
      <c r="H530">
        <v>100137</v>
      </c>
      <c r="I530" t="s">
        <v>978</v>
      </c>
    </row>
    <row r="531" spans="1:9" x14ac:dyDescent="0.2">
      <c r="A531" t="s">
        <v>979</v>
      </c>
      <c r="B531" s="6" t="str">
        <f>HYPERLINK("[#]Feature_Schema_2!A17084:F17084","SURVEY_POINT_P")</f>
        <v>SURVEY_POINT_P</v>
      </c>
      <c r="C531" t="s">
        <v>939</v>
      </c>
      <c r="D531" t="s">
        <v>939</v>
      </c>
      <c r="E531" t="s">
        <v>939</v>
      </c>
      <c r="F531" t="s">
        <v>939</v>
      </c>
      <c r="G531" t="s">
        <v>939</v>
      </c>
      <c r="H531">
        <v>177997</v>
      </c>
      <c r="I531" t="s">
        <v>980</v>
      </c>
    </row>
    <row r="532" spans="1:9" x14ac:dyDescent="0.2">
      <c r="A532" t="s">
        <v>981</v>
      </c>
      <c r="B532" s="6" t="str">
        <f>HYPERLINK("[#]Feature_Schema_2!A17148:F17148","SWAMP_S")</f>
        <v>SWAMP_S</v>
      </c>
      <c r="C532" t="s">
        <v>135</v>
      </c>
      <c r="D532" t="s">
        <v>135</v>
      </c>
      <c r="E532" t="s">
        <v>135</v>
      </c>
      <c r="F532" t="s">
        <v>135</v>
      </c>
      <c r="G532" t="s">
        <v>135</v>
      </c>
      <c r="H532">
        <v>100400</v>
      </c>
      <c r="I532" t="s">
        <v>982</v>
      </c>
    </row>
    <row r="533" spans="1:9" x14ac:dyDescent="0.2">
      <c r="A533" t="s">
        <v>983</v>
      </c>
      <c r="B533" s="6" t="str">
        <f>HYPERLINK("[#]Feature_Schema_2!A17331:F17331","SWEPT_AREA_S")</f>
        <v>SWEPT_AREA_S</v>
      </c>
      <c r="E533" t="s">
        <v>73</v>
      </c>
      <c r="F533" t="s">
        <v>73</v>
      </c>
      <c r="G533" t="s">
        <v>73</v>
      </c>
      <c r="H533">
        <v>100432</v>
      </c>
      <c r="I533" t="s">
        <v>984</v>
      </c>
    </row>
    <row r="534" spans="1:9" x14ac:dyDescent="0.2">
      <c r="A534" t="s">
        <v>985</v>
      </c>
      <c r="B534" s="6" t="str">
        <f>HYPERLINK("[#]Feature_Schema_2!A17527:F17527","SWIMMING_POOL_AON_S")</f>
        <v>SWIMMING_POOL_AON_S</v>
      </c>
      <c r="E534" t="s">
        <v>986</v>
      </c>
      <c r="G534" t="s">
        <v>986</v>
      </c>
      <c r="H534">
        <v>211</v>
      </c>
      <c r="I534" t="s">
        <v>987</v>
      </c>
    </row>
    <row r="535" spans="1:9" x14ac:dyDescent="0.2">
      <c r="A535" t="s">
        <v>988</v>
      </c>
      <c r="B535" s="6" t="str">
        <f>HYPERLINK("[#]Feature_Schema_2!A17690:F17690","SWIMMING_POOL_P")</f>
        <v>SWIMMING_POOL_P</v>
      </c>
      <c r="C535" t="s">
        <v>37</v>
      </c>
      <c r="D535" t="s">
        <v>37</v>
      </c>
      <c r="E535" t="s">
        <v>37</v>
      </c>
      <c r="F535" t="s">
        <v>37</v>
      </c>
      <c r="G535" t="s">
        <v>37</v>
      </c>
      <c r="H535">
        <v>100077</v>
      </c>
      <c r="I535" t="s">
        <v>989</v>
      </c>
    </row>
    <row r="536" spans="1:9" x14ac:dyDescent="0.2">
      <c r="A536" t="s">
        <v>988</v>
      </c>
      <c r="B536" s="6" t="str">
        <f>HYPERLINK("[#]Feature_Schema_2!A17853:F17853","SWIMMING_POOL_S")</f>
        <v>SWIMMING_POOL_S</v>
      </c>
      <c r="E536" t="s">
        <v>39</v>
      </c>
      <c r="F536" t="s">
        <v>39</v>
      </c>
      <c r="G536" t="s">
        <v>39</v>
      </c>
      <c r="H536">
        <v>100077</v>
      </c>
      <c r="I536" t="s">
        <v>990</v>
      </c>
    </row>
    <row r="537" spans="1:9" x14ac:dyDescent="0.2">
      <c r="A537" t="s">
        <v>991</v>
      </c>
      <c r="B537" s="6" t="str">
        <f>HYPERLINK("[#]Feature_Schema_2!A18016:F18016","TANK_CROSSING_P")</f>
        <v>TANK_CROSSING_P</v>
      </c>
      <c r="E537" t="s">
        <v>149</v>
      </c>
      <c r="F537" t="s">
        <v>149</v>
      </c>
      <c r="G537" t="s">
        <v>149</v>
      </c>
      <c r="H537">
        <v>180006</v>
      </c>
      <c r="I537" t="s">
        <v>992</v>
      </c>
    </row>
    <row r="538" spans="1:9" x14ac:dyDescent="0.2">
      <c r="A538" t="s">
        <v>991</v>
      </c>
      <c r="B538" s="6" t="str">
        <f>HYPERLINK("[#]Feature_Schema_2!A18104:F18104","TANK_CROSSING_S")</f>
        <v>TANK_CROSSING_S</v>
      </c>
      <c r="E538" t="s">
        <v>89</v>
      </c>
      <c r="F538" t="s">
        <v>89</v>
      </c>
      <c r="G538" t="s">
        <v>89</v>
      </c>
      <c r="H538">
        <v>180006</v>
      </c>
      <c r="I538" t="s">
        <v>993</v>
      </c>
    </row>
    <row r="539" spans="1:9" x14ac:dyDescent="0.2">
      <c r="A539" t="s">
        <v>994</v>
      </c>
      <c r="B539" s="6" t="str">
        <f>HYPERLINK("[#]Feature_Schema_2!A18192:F18192","TANK_FARM_P")</f>
        <v>TANK_FARM_P</v>
      </c>
      <c r="C539" t="s">
        <v>440</v>
      </c>
      <c r="D539" t="s">
        <v>440</v>
      </c>
      <c r="E539" t="s">
        <v>440</v>
      </c>
      <c r="F539" t="s">
        <v>440</v>
      </c>
      <c r="G539" t="s">
        <v>440</v>
      </c>
      <c r="H539">
        <v>100140</v>
      </c>
      <c r="I539" t="s">
        <v>995</v>
      </c>
    </row>
    <row r="540" spans="1:9" x14ac:dyDescent="0.2">
      <c r="A540" t="s">
        <v>994</v>
      </c>
      <c r="B540" s="6" t="str">
        <f>HYPERLINK("[#]Feature_Schema_2!A18322:F18322","TANK_FARM_S")</f>
        <v>TANK_FARM_S</v>
      </c>
      <c r="C540" t="s">
        <v>442</v>
      </c>
      <c r="D540" t="s">
        <v>442</v>
      </c>
      <c r="E540" t="s">
        <v>442</v>
      </c>
      <c r="F540" t="s">
        <v>442</v>
      </c>
      <c r="G540" t="s">
        <v>442</v>
      </c>
      <c r="H540">
        <v>100140</v>
      </c>
      <c r="I540" t="s">
        <v>996</v>
      </c>
    </row>
    <row r="541" spans="1:9" x14ac:dyDescent="0.2">
      <c r="A541" t="s">
        <v>997</v>
      </c>
      <c r="B541" s="6" t="str">
        <f>HYPERLINK("[#]Feature_Schema_2!A18452:F18452","TANK_TRAIL_C")</f>
        <v>TANK_TRAIL_C</v>
      </c>
      <c r="E541" t="s">
        <v>87</v>
      </c>
      <c r="F541" t="s">
        <v>87</v>
      </c>
      <c r="G541" t="s">
        <v>87</v>
      </c>
      <c r="H541">
        <v>179906</v>
      </c>
      <c r="I541" t="s">
        <v>998</v>
      </c>
    </row>
    <row r="542" spans="1:9" x14ac:dyDescent="0.2">
      <c r="A542" t="s">
        <v>997</v>
      </c>
      <c r="B542" s="6" t="str">
        <f>HYPERLINK("[#]Feature_Schema_2!A18533:F18533","TANK_TRAIL_S")</f>
        <v>TANK_TRAIL_S</v>
      </c>
      <c r="E542" t="s">
        <v>89</v>
      </c>
      <c r="F542" t="s">
        <v>89</v>
      </c>
      <c r="G542" t="s">
        <v>89</v>
      </c>
      <c r="H542">
        <v>179906</v>
      </c>
      <c r="I542" t="s">
        <v>999</v>
      </c>
    </row>
    <row r="543" spans="1:9" x14ac:dyDescent="0.2">
      <c r="A543" t="s">
        <v>1000</v>
      </c>
      <c r="B543" s="6" t="str">
        <f>HYPERLINK("[#]Feature_Schema_2!A18614:F18614","TAXIWAY_C")</f>
        <v>TAXIWAY_C</v>
      </c>
      <c r="F543" t="s">
        <v>1001</v>
      </c>
      <c r="G543" t="s">
        <v>1001</v>
      </c>
      <c r="H543">
        <v>100454</v>
      </c>
      <c r="I543" t="s">
        <v>1002</v>
      </c>
    </row>
    <row r="544" spans="1:9" x14ac:dyDescent="0.2">
      <c r="A544" t="s">
        <v>1000</v>
      </c>
      <c r="B544" s="6" t="str">
        <f>HYPERLINK("[#]Feature_Schema_2!A18813:F18813","TAXIWAY_S")</f>
        <v>TAXIWAY_S</v>
      </c>
      <c r="E544" t="s">
        <v>34</v>
      </c>
      <c r="F544" t="s">
        <v>34</v>
      </c>
      <c r="G544" t="s">
        <v>34</v>
      </c>
      <c r="H544">
        <v>100454</v>
      </c>
      <c r="I544" t="s">
        <v>1003</v>
      </c>
    </row>
    <row r="545" spans="1:9" x14ac:dyDescent="0.2">
      <c r="A545" t="s">
        <v>1004</v>
      </c>
      <c r="B545" s="6" t="str">
        <f>HYPERLINK("[#]Feature_Schema_2!A19012:F19012","TEST_SITE_S")</f>
        <v>TEST_SITE_S</v>
      </c>
      <c r="E545" t="s">
        <v>201</v>
      </c>
      <c r="F545" t="s">
        <v>201</v>
      </c>
      <c r="G545" t="s">
        <v>201</v>
      </c>
      <c r="H545">
        <v>100414</v>
      </c>
      <c r="I545" t="s">
        <v>1005</v>
      </c>
    </row>
    <row r="546" spans="1:9" x14ac:dyDescent="0.2">
      <c r="A546" t="s">
        <v>1006</v>
      </c>
      <c r="B546" s="6" t="str">
        <f>HYPERLINK("[#]Feature_Schema_2!A19065:F19065","TETHERED_BALLOON_P")</f>
        <v>TETHERED_BALLOON_P</v>
      </c>
      <c r="C546" t="s">
        <v>32</v>
      </c>
      <c r="D546" t="s">
        <v>32</v>
      </c>
      <c r="E546" t="s">
        <v>32</v>
      </c>
      <c r="F546" t="s">
        <v>32</v>
      </c>
      <c r="G546" t="s">
        <v>32</v>
      </c>
      <c r="H546">
        <v>100130</v>
      </c>
      <c r="I546" t="s">
        <v>1007</v>
      </c>
    </row>
    <row r="547" spans="1:9" x14ac:dyDescent="0.2">
      <c r="A547" t="s">
        <v>1008</v>
      </c>
      <c r="B547" s="6" t="str">
        <f>HYPERLINK("[#]Feature_Schema_2!A19115:F19115","THICKET_S")</f>
        <v>THICKET_S</v>
      </c>
      <c r="C547" t="s">
        <v>135</v>
      </c>
      <c r="D547" t="s">
        <v>135</v>
      </c>
      <c r="E547" t="s">
        <v>135</v>
      </c>
      <c r="F547" t="s">
        <v>135</v>
      </c>
      <c r="G547" t="s">
        <v>135</v>
      </c>
      <c r="H547">
        <v>100388</v>
      </c>
      <c r="I547" t="s">
        <v>1009</v>
      </c>
    </row>
    <row r="548" spans="1:9" x14ac:dyDescent="0.2">
      <c r="A548" t="s">
        <v>1010</v>
      </c>
      <c r="B548" s="6" t="str">
        <f>HYPERLINK("[#]Feature_Schema_2!A19159:F19159","TIDAL_STREAM_OBSERVE_STATION_P")</f>
        <v>TIDAL_STREAM_OBSERVE_STATION_P</v>
      </c>
      <c r="E548" t="s">
        <v>71</v>
      </c>
      <c r="F548" t="s">
        <v>71</v>
      </c>
      <c r="G548" t="s">
        <v>71</v>
      </c>
      <c r="H548">
        <v>100293</v>
      </c>
      <c r="I548" t="s">
        <v>1011</v>
      </c>
    </row>
    <row r="549" spans="1:9" x14ac:dyDescent="0.2">
      <c r="A549" t="s">
        <v>1012</v>
      </c>
      <c r="B549" s="6" t="str">
        <f>HYPERLINK("[#]Feature_Schema_2!A19237:F19237","TIDAL_WATER_S")</f>
        <v>TIDAL_WATER_S</v>
      </c>
      <c r="C549" t="s">
        <v>81</v>
      </c>
      <c r="D549" t="s">
        <v>81</v>
      </c>
      <c r="E549" t="s">
        <v>81</v>
      </c>
      <c r="F549" t="s">
        <v>81</v>
      </c>
      <c r="G549" t="s">
        <v>81</v>
      </c>
      <c r="H549">
        <v>100218</v>
      </c>
      <c r="I549" t="s">
        <v>1013</v>
      </c>
    </row>
    <row r="550" spans="1:9" x14ac:dyDescent="0.2">
      <c r="A550" t="s">
        <v>1014</v>
      </c>
      <c r="B550" s="6" t="str">
        <f>HYPERLINK("[#]Feature_Schema_2!A19355:F19355","TOMB_P")</f>
        <v>TOMB_P</v>
      </c>
      <c r="C550" t="s">
        <v>92</v>
      </c>
      <c r="D550" t="s">
        <v>92</v>
      </c>
      <c r="E550" t="s">
        <v>92</v>
      </c>
      <c r="F550" t="s">
        <v>92</v>
      </c>
      <c r="G550" t="s">
        <v>92</v>
      </c>
      <c r="H550">
        <v>100094</v>
      </c>
      <c r="I550" t="s">
        <v>1015</v>
      </c>
    </row>
    <row r="551" spans="1:9" x14ac:dyDescent="0.2">
      <c r="A551" t="s">
        <v>1014</v>
      </c>
      <c r="B551" s="6" t="str">
        <f>HYPERLINK("[#]Feature_Schema_2!A19456:F19456","TOMB_S")</f>
        <v>TOMB_S</v>
      </c>
      <c r="D551" t="s">
        <v>94</v>
      </c>
      <c r="E551" t="s">
        <v>94</v>
      </c>
      <c r="F551" t="s">
        <v>94</v>
      </c>
      <c r="G551" t="s">
        <v>94</v>
      </c>
      <c r="H551">
        <v>100094</v>
      </c>
      <c r="I551" t="s">
        <v>1016</v>
      </c>
    </row>
    <row r="552" spans="1:9" x14ac:dyDescent="0.2">
      <c r="A552" t="s">
        <v>1017</v>
      </c>
      <c r="B552" s="6" t="str">
        <f>HYPERLINK("[#]Feature_Schema_2!A19557:F19557","TOWER_P")</f>
        <v>TOWER_P</v>
      </c>
      <c r="C552" t="s">
        <v>100</v>
      </c>
      <c r="D552" t="s">
        <v>100</v>
      </c>
      <c r="E552" t="s">
        <v>100</v>
      </c>
      <c r="F552" t="s">
        <v>100</v>
      </c>
      <c r="G552" t="s">
        <v>100</v>
      </c>
      <c r="H552">
        <v>100122</v>
      </c>
      <c r="I552" t="s">
        <v>1018</v>
      </c>
    </row>
    <row r="553" spans="1:9" x14ac:dyDescent="0.2">
      <c r="A553" t="s">
        <v>1017</v>
      </c>
      <c r="B553" s="6" t="str">
        <f>HYPERLINK("[#]Feature_Schema_2!A19727:F19727","TOWER_S")</f>
        <v>TOWER_S</v>
      </c>
      <c r="F553" t="s">
        <v>102</v>
      </c>
      <c r="G553" t="s">
        <v>102</v>
      </c>
      <c r="H553">
        <v>100122</v>
      </c>
      <c r="I553" t="s">
        <v>1019</v>
      </c>
    </row>
    <row r="554" spans="1:9" x14ac:dyDescent="0.2">
      <c r="A554" t="s">
        <v>1020</v>
      </c>
      <c r="B554" s="6" t="str">
        <f>HYPERLINK("[#]Feature_Schema_2!A19897:F19897","TRAFFIC_LIGHT_P")</f>
        <v>TRAFFIC_LIGHT_P</v>
      </c>
      <c r="F554" t="s">
        <v>149</v>
      </c>
      <c r="G554" t="s">
        <v>149</v>
      </c>
      <c r="H554">
        <v>100194</v>
      </c>
      <c r="I554" t="s">
        <v>1021</v>
      </c>
    </row>
    <row r="555" spans="1:9" x14ac:dyDescent="0.2">
      <c r="A555" t="s">
        <v>1022</v>
      </c>
      <c r="B555" s="6" t="str">
        <f>HYPERLINK("[#]Feature_Schema_2!A19950:F19950","TRAFFIC_SEPARATION_SCHEME_C")</f>
        <v>TRAFFIC_SEPARATION_SCHEME_C</v>
      </c>
      <c r="E555" t="s">
        <v>312</v>
      </c>
      <c r="F555" t="s">
        <v>312</v>
      </c>
      <c r="G555" t="s">
        <v>312</v>
      </c>
      <c r="H555">
        <v>100422</v>
      </c>
      <c r="I555" t="s">
        <v>1023</v>
      </c>
    </row>
    <row r="556" spans="1:9" x14ac:dyDescent="0.2">
      <c r="A556" t="s">
        <v>1022</v>
      </c>
      <c r="B556" s="6" t="str">
        <f>HYPERLINK("[#]Feature_Schema_2!A20012:F20012","TRAFFIC_SEPARATION_SCHEME_P")</f>
        <v>TRAFFIC_SEPARATION_SCHEME_P</v>
      </c>
      <c r="E556" t="s">
        <v>71</v>
      </c>
      <c r="F556" t="s">
        <v>71</v>
      </c>
      <c r="G556" t="s">
        <v>71</v>
      </c>
      <c r="H556">
        <v>100422</v>
      </c>
      <c r="I556" t="s">
        <v>1024</v>
      </c>
    </row>
    <row r="557" spans="1:9" x14ac:dyDescent="0.2">
      <c r="A557" t="s">
        <v>1022</v>
      </c>
      <c r="B557" s="6" t="str">
        <f>HYPERLINK("[#]Feature_Schema_2!A20074:F20074","TRAFFIC_SEPARATION_SCHEME_S")</f>
        <v>TRAFFIC_SEPARATION_SCHEME_S</v>
      </c>
      <c r="E557" t="s">
        <v>73</v>
      </c>
      <c r="F557" t="s">
        <v>73</v>
      </c>
      <c r="G557" t="s">
        <v>73</v>
      </c>
      <c r="H557">
        <v>100422</v>
      </c>
      <c r="I557" t="s">
        <v>1025</v>
      </c>
    </row>
    <row r="558" spans="1:9" x14ac:dyDescent="0.2">
      <c r="A558" t="s">
        <v>1026</v>
      </c>
      <c r="B558" s="6" t="str">
        <f>HYPERLINK("[#]Feature_Schema_2!A20136:F20136","TRAIL_C")</f>
        <v>TRAIL_C</v>
      </c>
      <c r="C558" t="s">
        <v>87</v>
      </c>
      <c r="D558" t="s">
        <v>87</v>
      </c>
      <c r="E558" t="s">
        <v>87</v>
      </c>
      <c r="F558" t="s">
        <v>87</v>
      </c>
      <c r="G558" t="s">
        <v>87</v>
      </c>
      <c r="H558">
        <v>100156</v>
      </c>
      <c r="I558" t="s">
        <v>1027</v>
      </c>
    </row>
    <row r="559" spans="1:9" x14ac:dyDescent="0.2">
      <c r="A559" t="s">
        <v>1028</v>
      </c>
      <c r="B559" s="6" t="str">
        <f>HYPERLINK("[#]Feature_Schema_2!A20233:F20233","TRAINING_SITE_P")</f>
        <v>TRAINING_SITE_P</v>
      </c>
      <c r="C559" t="s">
        <v>208</v>
      </c>
      <c r="D559" t="s">
        <v>208</v>
      </c>
      <c r="E559" t="s">
        <v>208</v>
      </c>
      <c r="F559" t="s">
        <v>208</v>
      </c>
      <c r="G559" t="s">
        <v>208</v>
      </c>
      <c r="H559">
        <v>100416</v>
      </c>
      <c r="I559" t="s">
        <v>1029</v>
      </c>
    </row>
    <row r="560" spans="1:9" x14ac:dyDescent="0.2">
      <c r="A560" t="s">
        <v>1028</v>
      </c>
      <c r="B560" s="6" t="str">
        <f>HYPERLINK("[#]Feature_Schema_2!A20357:F20357","TRAINING_SITE_S")</f>
        <v>TRAINING_SITE_S</v>
      </c>
      <c r="C560" t="s">
        <v>201</v>
      </c>
      <c r="D560" t="s">
        <v>201</v>
      </c>
      <c r="E560" t="s">
        <v>201</v>
      </c>
      <c r="F560" t="s">
        <v>201</v>
      </c>
      <c r="G560" t="s">
        <v>201</v>
      </c>
      <c r="H560">
        <v>100416</v>
      </c>
      <c r="I560" t="s">
        <v>1030</v>
      </c>
    </row>
    <row r="561" spans="1:9" x14ac:dyDescent="0.2">
      <c r="A561" t="s">
        <v>1031</v>
      </c>
      <c r="B561" s="6" t="str">
        <f>HYPERLINK("[#]Feature_Schema_2!A20481:F20481","TRANS_ROUTE_CHARACTER_CHANGE_C")</f>
        <v>TRANS_ROUTE_CHARACTER_CHANGE_C</v>
      </c>
      <c r="C561" t="s">
        <v>87</v>
      </c>
      <c r="D561" t="s">
        <v>87</v>
      </c>
      <c r="E561" t="s">
        <v>87</v>
      </c>
      <c r="F561" t="s">
        <v>87</v>
      </c>
      <c r="G561" t="s">
        <v>87</v>
      </c>
      <c r="H561">
        <v>131083</v>
      </c>
      <c r="I561" t="s">
        <v>1032</v>
      </c>
    </row>
    <row r="562" spans="1:9" x14ac:dyDescent="0.2">
      <c r="A562" t="s">
        <v>1031</v>
      </c>
      <c r="B562" s="6" t="str">
        <f>HYPERLINK("[#]Feature_Schema_2!A20605:F20605","TRANS_ROUTE_CHARACTER_CHANGE_P")</f>
        <v>TRANS_ROUTE_CHARACTER_CHANGE_P</v>
      </c>
      <c r="C562" t="s">
        <v>149</v>
      </c>
      <c r="D562" t="s">
        <v>149</v>
      </c>
      <c r="E562" t="s">
        <v>149</v>
      </c>
      <c r="F562" t="s">
        <v>149</v>
      </c>
      <c r="G562" t="s">
        <v>149</v>
      </c>
      <c r="H562">
        <v>131083</v>
      </c>
      <c r="I562" t="s">
        <v>1033</v>
      </c>
    </row>
    <row r="563" spans="1:9" x14ac:dyDescent="0.2">
      <c r="A563" t="s">
        <v>1034</v>
      </c>
      <c r="B563" s="6" t="str">
        <f>HYPERLINK("[#]Feature_Schema_2!A20729:F20729","TRANS_ROUTE_PROTECT_STRUCT_C")</f>
        <v>TRANS_ROUTE_PROTECT_STRUCT_C</v>
      </c>
      <c r="C563" t="s">
        <v>87</v>
      </c>
      <c r="D563" t="s">
        <v>87</v>
      </c>
      <c r="E563" t="s">
        <v>87</v>
      </c>
      <c r="F563" t="s">
        <v>87</v>
      </c>
      <c r="G563" t="s">
        <v>87</v>
      </c>
      <c r="H563">
        <v>130921</v>
      </c>
      <c r="I563" t="s">
        <v>1035</v>
      </c>
    </row>
    <row r="564" spans="1:9" x14ac:dyDescent="0.2">
      <c r="A564" t="s">
        <v>1034</v>
      </c>
      <c r="B564" s="6" t="str">
        <f>HYPERLINK("[#]Feature_Schema_2!A20815:F20815","TRANS_ROUTE_PROTECT_STRUCT_P")</f>
        <v>TRANS_ROUTE_PROTECT_STRUCT_P</v>
      </c>
      <c r="C564" t="s">
        <v>149</v>
      </c>
      <c r="D564" t="s">
        <v>149</v>
      </c>
      <c r="E564" t="s">
        <v>149</v>
      </c>
      <c r="F564" t="s">
        <v>149</v>
      </c>
      <c r="G564" t="s">
        <v>149</v>
      </c>
      <c r="H564">
        <v>130921</v>
      </c>
      <c r="I564" t="s">
        <v>1036</v>
      </c>
    </row>
    <row r="565" spans="1:9" x14ac:dyDescent="0.2">
      <c r="A565" t="s">
        <v>1034</v>
      </c>
      <c r="B565" s="6" t="str">
        <f>HYPERLINK("[#]Feature_Schema_2!A20901:F20901","TRANS_ROUTE_PROTECT_STRUCT_S")</f>
        <v>TRANS_ROUTE_PROTECT_STRUCT_S</v>
      </c>
      <c r="E565" t="s">
        <v>89</v>
      </c>
      <c r="F565" t="s">
        <v>89</v>
      </c>
      <c r="G565" t="s">
        <v>89</v>
      </c>
      <c r="H565">
        <v>130921</v>
      </c>
      <c r="I565" t="s">
        <v>1037</v>
      </c>
    </row>
    <row r="566" spans="1:9" x14ac:dyDescent="0.2">
      <c r="A566" t="s">
        <v>1038</v>
      </c>
      <c r="B566" s="6" t="str">
        <f>HYPERLINK("[#]Feature_Schema_2!A20987:F20987","TRANSPORTATION_BLOCK_P")</f>
        <v>TRANSPORTATION_BLOCK_P</v>
      </c>
      <c r="C566" t="s">
        <v>149</v>
      </c>
      <c r="D566" t="s">
        <v>149</v>
      </c>
      <c r="E566" t="s">
        <v>149</v>
      </c>
      <c r="F566" t="s">
        <v>149</v>
      </c>
      <c r="G566" t="s">
        <v>149</v>
      </c>
      <c r="H566">
        <v>100171</v>
      </c>
      <c r="I566" t="s">
        <v>1039</v>
      </c>
    </row>
    <row r="567" spans="1:9" x14ac:dyDescent="0.2">
      <c r="A567" t="s">
        <v>1038</v>
      </c>
      <c r="B567" s="6" t="str">
        <f>HYPERLINK("[#]Feature_Schema_2!A21066:F21066","TRANSPORTATION_BLOCK_S")</f>
        <v>TRANSPORTATION_BLOCK_S</v>
      </c>
      <c r="F567" t="s">
        <v>89</v>
      </c>
      <c r="G567" t="s">
        <v>89</v>
      </c>
      <c r="H567">
        <v>100171</v>
      </c>
      <c r="I567" t="s">
        <v>1040</v>
      </c>
    </row>
    <row r="568" spans="1:9" x14ac:dyDescent="0.2">
      <c r="A568" t="s">
        <v>1041</v>
      </c>
      <c r="B568" s="6" t="str">
        <f>HYPERLINK("[#]Feature_Schema_2!A21145:F21145","TRANSPORTATION_STATION_P")</f>
        <v>TRANSPORTATION_STATION_P</v>
      </c>
      <c r="C568" t="s">
        <v>149</v>
      </c>
      <c r="D568" t="s">
        <v>149</v>
      </c>
      <c r="E568" t="s">
        <v>149</v>
      </c>
      <c r="F568" t="s">
        <v>149</v>
      </c>
      <c r="G568" t="s">
        <v>149</v>
      </c>
      <c r="H568">
        <v>100186</v>
      </c>
      <c r="I568" t="s">
        <v>1042</v>
      </c>
    </row>
    <row r="569" spans="1:9" x14ac:dyDescent="0.2">
      <c r="A569" t="s">
        <v>1041</v>
      </c>
      <c r="B569" s="6" t="str">
        <f>HYPERLINK("[#]Feature_Schema_2!A21418:F21418","TRANSPORTATION_STATION_S")</f>
        <v>TRANSPORTATION_STATION_S</v>
      </c>
      <c r="C569" t="s">
        <v>89</v>
      </c>
      <c r="D569" t="s">
        <v>89</v>
      </c>
      <c r="E569" t="s">
        <v>89</v>
      </c>
      <c r="F569" t="s">
        <v>89</v>
      </c>
      <c r="G569" t="s">
        <v>89</v>
      </c>
      <c r="H569">
        <v>100186</v>
      </c>
      <c r="I569" t="s">
        <v>1043</v>
      </c>
    </row>
    <row r="570" spans="1:9" x14ac:dyDescent="0.2">
      <c r="A570" t="s">
        <v>1044</v>
      </c>
      <c r="B570" s="6" t="str">
        <f>HYPERLINK("[#]Feature_Schema_2!A21691:F21691","TREE_P")</f>
        <v>TREE_P</v>
      </c>
      <c r="E570" t="s">
        <v>1045</v>
      </c>
      <c r="F570" t="s">
        <v>1045</v>
      </c>
      <c r="G570" t="s">
        <v>1045</v>
      </c>
      <c r="H570">
        <v>100392</v>
      </c>
      <c r="I570" t="s">
        <v>1046</v>
      </c>
    </row>
    <row r="571" spans="1:9" x14ac:dyDescent="0.2">
      <c r="A571" t="s">
        <v>1047</v>
      </c>
      <c r="B571" s="6" t="str">
        <f>HYPERLINK("[#]Feature_Schema_2!A21745:F21745","TUNDRA_S")</f>
        <v>TUNDRA_S</v>
      </c>
      <c r="C571" t="s">
        <v>135</v>
      </c>
      <c r="D571" t="s">
        <v>135</v>
      </c>
      <c r="E571" t="s">
        <v>135</v>
      </c>
      <c r="F571" t="s">
        <v>135</v>
      </c>
      <c r="G571" t="s">
        <v>135</v>
      </c>
      <c r="H571">
        <v>100350</v>
      </c>
      <c r="I571" t="s">
        <v>1048</v>
      </c>
    </row>
    <row r="572" spans="1:9" x14ac:dyDescent="0.2">
      <c r="A572" t="s">
        <v>1049</v>
      </c>
      <c r="B572" s="6" t="str">
        <f>HYPERLINK("[#]Feature_Schema_2!A21787:F21787","TUNNEL_C")</f>
        <v>TUNNEL_C</v>
      </c>
      <c r="C572" t="s">
        <v>87</v>
      </c>
      <c r="D572" t="s">
        <v>87</v>
      </c>
      <c r="E572" t="s">
        <v>87</v>
      </c>
      <c r="F572" t="s">
        <v>87</v>
      </c>
      <c r="G572" t="s">
        <v>87</v>
      </c>
      <c r="H572">
        <v>100187</v>
      </c>
      <c r="I572" t="s">
        <v>1050</v>
      </c>
    </row>
    <row r="573" spans="1:9" x14ac:dyDescent="0.2">
      <c r="A573" t="s">
        <v>1051</v>
      </c>
      <c r="B573" s="6" t="str">
        <f>HYPERLINK("[#]Feature_Schema_2!A21920:F21920","TUNNEL_MOUTH_P")</f>
        <v>TUNNEL_MOUTH_P</v>
      </c>
      <c r="C573" t="s">
        <v>149</v>
      </c>
      <c r="D573" t="s">
        <v>149</v>
      </c>
      <c r="E573" t="s">
        <v>149</v>
      </c>
      <c r="F573" t="s">
        <v>149</v>
      </c>
      <c r="G573" t="s">
        <v>149</v>
      </c>
      <c r="H573">
        <v>100176</v>
      </c>
      <c r="I573" t="s">
        <v>1052</v>
      </c>
    </row>
    <row r="574" spans="1:9" x14ac:dyDescent="0.2">
      <c r="A574" t="s">
        <v>1049</v>
      </c>
      <c r="B574" s="6" t="str">
        <f>HYPERLINK("[#]Feature_Schema_2!A22019:F22019","TUNNEL_S")</f>
        <v>TUNNEL_S</v>
      </c>
      <c r="F574" t="s">
        <v>89</v>
      </c>
      <c r="G574" t="s">
        <v>89</v>
      </c>
      <c r="H574">
        <v>100187</v>
      </c>
      <c r="I574" t="s">
        <v>1053</v>
      </c>
    </row>
    <row r="575" spans="1:9" x14ac:dyDescent="0.2">
      <c r="A575" t="s">
        <v>1054</v>
      </c>
      <c r="B575" s="6" t="str">
        <f>HYPERLINK("[#]Feature_Schema_2!A22152:F22152","UNDERGROUND_BUNKER_P")</f>
        <v>UNDERGROUND_BUNKER_P</v>
      </c>
      <c r="C575" t="s">
        <v>208</v>
      </c>
      <c r="D575" t="s">
        <v>208</v>
      </c>
      <c r="E575" t="s">
        <v>208</v>
      </c>
      <c r="F575" t="s">
        <v>208</v>
      </c>
      <c r="G575" t="s">
        <v>208</v>
      </c>
      <c r="H575">
        <v>100038</v>
      </c>
      <c r="I575" t="s">
        <v>1055</v>
      </c>
    </row>
    <row r="576" spans="1:9" x14ac:dyDescent="0.2">
      <c r="A576" t="s">
        <v>1054</v>
      </c>
      <c r="B576" s="6" t="str">
        <f>HYPERLINK("[#]Feature_Schema_2!A22274:F22274","UNDERGROUND_BUNKER_S")</f>
        <v>UNDERGROUND_BUNKER_S</v>
      </c>
      <c r="C576" t="s">
        <v>201</v>
      </c>
      <c r="D576" t="s">
        <v>201</v>
      </c>
      <c r="E576" t="s">
        <v>201</v>
      </c>
      <c r="F576" t="s">
        <v>201</v>
      </c>
      <c r="G576" t="s">
        <v>201</v>
      </c>
      <c r="H576">
        <v>100038</v>
      </c>
      <c r="I576" t="s">
        <v>1056</v>
      </c>
    </row>
    <row r="577" spans="1:11" x14ac:dyDescent="0.2">
      <c r="A577" t="s">
        <v>1057</v>
      </c>
      <c r="B577" s="6" t="str">
        <f>HYPERLINK("[#]Feature_Schema_2!A22396:F22396","UNDERGROUND_DWELLING_P")</f>
        <v>UNDERGROUND_DWELLING_P</v>
      </c>
      <c r="E577" t="s">
        <v>100</v>
      </c>
      <c r="F577" t="s">
        <v>100</v>
      </c>
      <c r="G577" t="s">
        <v>100</v>
      </c>
      <c r="H577">
        <v>100123</v>
      </c>
      <c r="I577" t="s">
        <v>1058</v>
      </c>
    </row>
    <row r="578" spans="1:11" x14ac:dyDescent="0.2">
      <c r="A578" t="s">
        <v>1059</v>
      </c>
      <c r="B578" s="7" t="str">
        <f>HYPERLINK("[#]Feature_Schema_2!A22472:F22472","UTILITY_ACCESS_POINT_P")</f>
        <v>UTILITY_ACCESS_POINT_P</v>
      </c>
      <c r="F578" t="s">
        <v>20</v>
      </c>
      <c r="G578" t="s">
        <v>20</v>
      </c>
      <c r="H578">
        <v>100181</v>
      </c>
      <c r="I578" t="s">
        <v>1060</v>
      </c>
      <c r="K578" t="s">
        <v>1137</v>
      </c>
    </row>
    <row r="579" spans="1:11" x14ac:dyDescent="0.2">
      <c r="A579" t="s">
        <v>1061</v>
      </c>
      <c r="B579" s="6" t="str">
        <f>HYPERLINK("[#]Feature_Schema_2!A22581:F22581","VANISHING_POINT_P")</f>
        <v>VANISHING_POINT_P</v>
      </c>
      <c r="C579" t="s">
        <v>233</v>
      </c>
      <c r="D579" t="s">
        <v>233</v>
      </c>
      <c r="E579" t="s">
        <v>233</v>
      </c>
      <c r="F579" t="s">
        <v>233</v>
      </c>
      <c r="G579" t="s">
        <v>233</v>
      </c>
      <c r="H579">
        <v>100315</v>
      </c>
      <c r="I579" t="s">
        <v>1062</v>
      </c>
    </row>
    <row r="580" spans="1:11" x14ac:dyDescent="0.2">
      <c r="A580" t="s">
        <v>1063</v>
      </c>
      <c r="B580" s="6" t="str">
        <f>HYPERLINK("[#]Feature_Schema_2!A22667:F22667","VEHICLE_BARRIER_C")</f>
        <v>VEHICLE_BARRIER_C</v>
      </c>
      <c r="E580" t="s">
        <v>87</v>
      </c>
      <c r="F580" t="s">
        <v>87</v>
      </c>
      <c r="G580" t="s">
        <v>87</v>
      </c>
      <c r="H580">
        <v>100155</v>
      </c>
      <c r="I580" t="s">
        <v>1064</v>
      </c>
    </row>
    <row r="581" spans="1:11" x14ac:dyDescent="0.2">
      <c r="A581" t="s">
        <v>1063</v>
      </c>
      <c r="B581" s="6" t="str">
        <f>HYPERLINK("[#]Feature_Schema_2!A22777:F22777","VEHICLE_BARRIER_P")</f>
        <v>VEHICLE_BARRIER_P</v>
      </c>
      <c r="C581" t="s">
        <v>149</v>
      </c>
      <c r="D581" t="s">
        <v>149</v>
      </c>
      <c r="E581" t="s">
        <v>149</v>
      </c>
      <c r="F581" t="s">
        <v>149</v>
      </c>
      <c r="G581" t="s">
        <v>149</v>
      </c>
      <c r="H581">
        <v>100155</v>
      </c>
      <c r="I581" t="s">
        <v>1065</v>
      </c>
    </row>
    <row r="582" spans="1:11" x14ac:dyDescent="0.2">
      <c r="A582" t="s">
        <v>1066</v>
      </c>
      <c r="B582" s="6" t="str">
        <f>HYPERLINK("[#]Feature_Schema_2!A22887:F22887","VEHICLE_LOT_S")</f>
        <v>VEHICLE_LOT_S</v>
      </c>
      <c r="E582" t="s">
        <v>89</v>
      </c>
      <c r="F582" t="s">
        <v>89</v>
      </c>
      <c r="G582" t="s">
        <v>89</v>
      </c>
      <c r="H582">
        <v>100189</v>
      </c>
      <c r="I582" t="s">
        <v>1067</v>
      </c>
    </row>
    <row r="583" spans="1:11" x14ac:dyDescent="0.2">
      <c r="A583" t="s">
        <v>1068</v>
      </c>
      <c r="B583" s="6" t="str">
        <f>HYPERLINK("[#]Feature_Schema_2!A22987:F22987","VESSEL_LIFT_S")</f>
        <v>VESSEL_LIFT_S</v>
      </c>
      <c r="F583" t="s">
        <v>346</v>
      </c>
      <c r="G583" t="s">
        <v>346</v>
      </c>
      <c r="H583">
        <v>100328</v>
      </c>
      <c r="I583" t="s">
        <v>1069</v>
      </c>
    </row>
    <row r="584" spans="1:11" x14ac:dyDescent="0.2">
      <c r="A584" t="s">
        <v>1070</v>
      </c>
      <c r="B584" s="6" t="str">
        <f>HYPERLINK("[#]Feature_Schema_2!A23054:F23054","VINEYARD_P")</f>
        <v>VINEYARD_P</v>
      </c>
      <c r="C584" t="s">
        <v>717</v>
      </c>
      <c r="D584" t="s">
        <v>717</v>
      </c>
      <c r="G584" t="s">
        <v>717</v>
      </c>
      <c r="H584">
        <v>100385</v>
      </c>
      <c r="I584" t="s">
        <v>1071</v>
      </c>
    </row>
    <row r="585" spans="1:11" x14ac:dyDescent="0.2">
      <c r="A585" t="s">
        <v>1070</v>
      </c>
      <c r="B585" s="6" t="str">
        <f>HYPERLINK("[#]Feature_Schema_2!A23142:F23142","VINEYARD_S")</f>
        <v>VINEYARD_S</v>
      </c>
      <c r="C585" t="s">
        <v>107</v>
      </c>
      <c r="D585" t="s">
        <v>107</v>
      </c>
      <c r="E585" t="s">
        <v>107</v>
      </c>
      <c r="F585" t="s">
        <v>107</v>
      </c>
      <c r="G585" t="s">
        <v>107</v>
      </c>
      <c r="H585">
        <v>100385</v>
      </c>
      <c r="I585" t="s">
        <v>1072</v>
      </c>
    </row>
    <row r="586" spans="1:11" x14ac:dyDescent="0.2">
      <c r="A586" t="s">
        <v>1073</v>
      </c>
      <c r="B586" s="6" t="str">
        <f>HYPERLINK("[#]Feature_Schema_2!A23230:F23230","VOID_COLLECTION_AREA_S")</f>
        <v>VOID_COLLECTION_AREA_S</v>
      </c>
      <c r="C586" t="s">
        <v>61</v>
      </c>
      <c r="D586" t="s">
        <v>61</v>
      </c>
      <c r="E586" t="s">
        <v>61</v>
      </c>
      <c r="F586" t="s">
        <v>61</v>
      </c>
      <c r="G586" t="s">
        <v>61</v>
      </c>
      <c r="H586">
        <v>100473</v>
      </c>
      <c r="I586" t="s">
        <v>1074</v>
      </c>
    </row>
    <row r="587" spans="1:11" x14ac:dyDescent="0.2">
      <c r="A587" t="s">
        <v>1075</v>
      </c>
      <c r="B587" s="6" t="str">
        <f>HYPERLINK("[#]Feature_Schema_2!A23326:F23326","VOLCANIC_DYKE_C")</f>
        <v>VOLCANIC_DYKE_C</v>
      </c>
      <c r="D587" t="s">
        <v>269</v>
      </c>
      <c r="E587" t="s">
        <v>269</v>
      </c>
      <c r="F587" t="s">
        <v>269</v>
      </c>
      <c r="G587" t="s">
        <v>269</v>
      </c>
      <c r="H587">
        <v>100377</v>
      </c>
      <c r="I587" t="s">
        <v>1076</v>
      </c>
    </row>
    <row r="588" spans="1:11" x14ac:dyDescent="0.2">
      <c r="A588" t="s">
        <v>1077</v>
      </c>
      <c r="B588" s="6" t="str">
        <f>HYPERLINK("[#]Feature_Schema_2!A23369:F23369","VOLCANO_P")</f>
        <v>VOLCANO_P</v>
      </c>
      <c r="C588" t="s">
        <v>223</v>
      </c>
      <c r="D588" t="s">
        <v>223</v>
      </c>
      <c r="E588" t="s">
        <v>223</v>
      </c>
      <c r="F588" t="s">
        <v>223</v>
      </c>
      <c r="G588" t="s">
        <v>223</v>
      </c>
      <c r="H588">
        <v>100375</v>
      </c>
      <c r="I588" t="s">
        <v>1078</v>
      </c>
    </row>
    <row r="589" spans="1:11" x14ac:dyDescent="0.2">
      <c r="A589" t="s">
        <v>1077</v>
      </c>
      <c r="B589" s="6" t="str">
        <f>HYPERLINK("[#]Feature_Schema_2!A23422:F23422","VOLCANO_S")</f>
        <v>VOLCANO_S</v>
      </c>
      <c r="E589" t="s">
        <v>97</v>
      </c>
      <c r="F589" t="s">
        <v>97</v>
      </c>
      <c r="G589" t="s">
        <v>97</v>
      </c>
      <c r="H589">
        <v>100375</v>
      </c>
      <c r="I589" t="s">
        <v>1079</v>
      </c>
    </row>
    <row r="590" spans="1:11" x14ac:dyDescent="0.2">
      <c r="A590" t="s">
        <v>1080</v>
      </c>
      <c r="B590" s="6" t="str">
        <f>HYPERLINK("[#]Feature_Schema_2!A23475:F23475","WALL_C")</f>
        <v>WALL_C</v>
      </c>
      <c r="C590" t="s">
        <v>171</v>
      </c>
      <c r="D590" t="s">
        <v>171</v>
      </c>
      <c r="E590" t="s">
        <v>171</v>
      </c>
      <c r="F590" t="s">
        <v>171</v>
      </c>
      <c r="G590" t="s">
        <v>171</v>
      </c>
      <c r="H590">
        <v>100124</v>
      </c>
      <c r="I590" t="s">
        <v>1081</v>
      </c>
    </row>
    <row r="591" spans="1:11" x14ac:dyDescent="0.2">
      <c r="A591" t="s">
        <v>1082</v>
      </c>
      <c r="B591" s="6" t="str">
        <f>HYPERLINK("[#]Feature_Schema_2!A23590:F23590","WASTE_HEAP_P")</f>
        <v>WASTE_HEAP_P</v>
      </c>
      <c r="D591" t="s">
        <v>131</v>
      </c>
      <c r="G591" t="s">
        <v>131</v>
      </c>
      <c r="H591">
        <v>177962</v>
      </c>
      <c r="I591" t="s">
        <v>1083</v>
      </c>
    </row>
    <row r="592" spans="1:11" x14ac:dyDescent="0.2">
      <c r="A592" t="s">
        <v>1082</v>
      </c>
      <c r="B592" s="6" t="str">
        <f>HYPERLINK("[#]Feature_Schema_2!A23632:F23632","WASTE_HEAP_S")</f>
        <v>WASTE_HEAP_S</v>
      </c>
      <c r="E592" t="s">
        <v>17</v>
      </c>
      <c r="F592" t="s">
        <v>17</v>
      </c>
      <c r="G592" t="s">
        <v>17</v>
      </c>
      <c r="H592">
        <v>177962</v>
      </c>
      <c r="I592" t="s">
        <v>1084</v>
      </c>
    </row>
    <row r="593" spans="1:9" x14ac:dyDescent="0.2">
      <c r="A593" t="s">
        <v>1085</v>
      </c>
      <c r="B593" s="6" t="str">
        <f>HYPERLINK("[#]Feature_Schema_2!A23674:F23674","WATER_AERODROME_P")</f>
        <v>WATER_AERODROME_P</v>
      </c>
      <c r="C593" t="s">
        <v>32</v>
      </c>
      <c r="D593" t="s">
        <v>32</v>
      </c>
      <c r="E593" t="s">
        <v>32</v>
      </c>
      <c r="G593" t="s">
        <v>32</v>
      </c>
      <c r="H593">
        <v>100452</v>
      </c>
      <c r="I593" t="s">
        <v>1086</v>
      </c>
    </row>
    <row r="594" spans="1:9" x14ac:dyDescent="0.2">
      <c r="A594" t="s">
        <v>1085</v>
      </c>
      <c r="B594" s="6" t="str">
        <f>HYPERLINK("[#]Feature_Schema_2!A23754:F23754","WATER_AERODROME_S")</f>
        <v>WATER_AERODROME_S</v>
      </c>
      <c r="C594" t="s">
        <v>34</v>
      </c>
      <c r="D594" t="s">
        <v>34</v>
      </c>
      <c r="E594" t="s">
        <v>34</v>
      </c>
      <c r="F594" t="s">
        <v>34</v>
      </c>
      <c r="G594" t="s">
        <v>34</v>
      </c>
      <c r="H594">
        <v>100452</v>
      </c>
      <c r="I594" t="s">
        <v>1087</v>
      </c>
    </row>
    <row r="595" spans="1:9" x14ac:dyDescent="0.2">
      <c r="A595" t="s">
        <v>1088</v>
      </c>
      <c r="B595" s="6" t="str">
        <f>HYPERLINK("[#]Feature_Schema_2!A23834:F23834","WATER_INTAKE_TOWER_P")</f>
        <v>WATER_INTAKE_TOWER_P</v>
      </c>
      <c r="C595" t="s">
        <v>233</v>
      </c>
      <c r="D595" t="s">
        <v>233</v>
      </c>
      <c r="E595" t="s">
        <v>233</v>
      </c>
      <c r="F595" t="s">
        <v>233</v>
      </c>
      <c r="G595" t="s">
        <v>233</v>
      </c>
      <c r="H595">
        <v>100337</v>
      </c>
      <c r="I595" t="s">
        <v>1089</v>
      </c>
    </row>
    <row r="596" spans="1:9" x14ac:dyDescent="0.2">
      <c r="A596" t="s">
        <v>1088</v>
      </c>
      <c r="B596" s="6" t="str">
        <f>HYPERLINK("[#]Feature_Schema_2!A23980:F23980","WATER_INTAKE_TOWER_S")</f>
        <v>WATER_INTAKE_TOWER_S</v>
      </c>
      <c r="E596" t="s">
        <v>81</v>
      </c>
      <c r="F596" t="s">
        <v>81</v>
      </c>
      <c r="G596" t="s">
        <v>81</v>
      </c>
      <c r="H596">
        <v>100337</v>
      </c>
      <c r="I596" t="s">
        <v>1090</v>
      </c>
    </row>
    <row r="597" spans="1:9" x14ac:dyDescent="0.2">
      <c r="A597" t="s">
        <v>1091</v>
      </c>
      <c r="B597" s="6" t="str">
        <f>HYPERLINK("[#]Feature_Schema_2!A24126:F24126","WATER_MEASUREMENT_LOCATION_P")</f>
        <v>WATER_MEASUREMENT_LOCATION_P</v>
      </c>
      <c r="E597" t="s">
        <v>233</v>
      </c>
      <c r="F597" t="s">
        <v>233</v>
      </c>
      <c r="G597" t="s">
        <v>233</v>
      </c>
      <c r="H597">
        <v>164755</v>
      </c>
      <c r="I597" t="s">
        <v>1092</v>
      </c>
    </row>
    <row r="598" spans="1:9" x14ac:dyDescent="0.2">
      <c r="A598" t="s">
        <v>1091</v>
      </c>
      <c r="B598" s="6" t="str">
        <f>HYPERLINK("[#]Feature_Schema_2!A24265:F24265","WATER_MEASUREMENT_LOCATION_S")</f>
        <v>WATER_MEASUREMENT_LOCATION_S</v>
      </c>
      <c r="E598" t="s">
        <v>81</v>
      </c>
      <c r="F598" t="s">
        <v>81</v>
      </c>
      <c r="G598" t="s">
        <v>81</v>
      </c>
      <c r="H598">
        <v>164755</v>
      </c>
      <c r="I598" t="s">
        <v>1093</v>
      </c>
    </row>
    <row r="599" spans="1:9" x14ac:dyDescent="0.2">
      <c r="A599" t="s">
        <v>1094</v>
      </c>
      <c r="B599" s="6" t="str">
        <f>HYPERLINK("[#]Feature_Schema_2!A24404:F24404","WATER_MILL_P")</f>
        <v>WATER_MILL_P</v>
      </c>
      <c r="C599" t="s">
        <v>131</v>
      </c>
      <c r="D599" t="s">
        <v>131</v>
      </c>
      <c r="E599" t="s">
        <v>131</v>
      </c>
      <c r="F599" t="s">
        <v>131</v>
      </c>
      <c r="G599" t="s">
        <v>131</v>
      </c>
      <c r="H599">
        <v>100046</v>
      </c>
      <c r="I599" t="s">
        <v>1095</v>
      </c>
    </row>
    <row r="600" spans="1:9" x14ac:dyDescent="0.2">
      <c r="A600" t="s">
        <v>1094</v>
      </c>
      <c r="B600" s="6" t="str">
        <f>HYPERLINK("[#]Feature_Schema_2!A24529:F24529","WATER_MILL_S")</f>
        <v>WATER_MILL_S</v>
      </c>
      <c r="D600" t="s">
        <v>17</v>
      </c>
      <c r="E600" t="s">
        <v>17</v>
      </c>
      <c r="F600" t="s">
        <v>17</v>
      </c>
      <c r="G600" t="s">
        <v>17</v>
      </c>
      <c r="H600">
        <v>100046</v>
      </c>
      <c r="I600" t="s">
        <v>1096</v>
      </c>
    </row>
    <row r="601" spans="1:9" x14ac:dyDescent="0.2">
      <c r="A601" t="s">
        <v>1097</v>
      </c>
      <c r="B601" s="6" t="str">
        <f>HYPERLINK("[#]Feature_Schema_2!A24654:F24654","WATER_MOVEMENT_DATA_LOCATION_P")</f>
        <v>WATER_MOVEMENT_DATA_LOCATION_P</v>
      </c>
      <c r="E601" t="s">
        <v>71</v>
      </c>
      <c r="F601" t="s">
        <v>71</v>
      </c>
      <c r="G601" t="s">
        <v>71</v>
      </c>
      <c r="H601">
        <v>100289</v>
      </c>
      <c r="I601" t="s">
        <v>1098</v>
      </c>
    </row>
    <row r="602" spans="1:9" x14ac:dyDescent="0.2">
      <c r="A602" t="s">
        <v>1099</v>
      </c>
      <c r="B602" s="6" t="str">
        <f>HYPERLINK("[#]Feature_Schema_2!A24892:F24892","WATER_RACE_C")</f>
        <v>WATER_RACE_C</v>
      </c>
      <c r="E602" t="s">
        <v>79</v>
      </c>
      <c r="F602" t="s">
        <v>79</v>
      </c>
      <c r="G602" t="s">
        <v>79</v>
      </c>
      <c r="H602">
        <v>131810</v>
      </c>
      <c r="I602" t="s">
        <v>1100</v>
      </c>
    </row>
    <row r="603" spans="1:9" x14ac:dyDescent="0.2">
      <c r="A603" t="s">
        <v>1101</v>
      </c>
      <c r="B603" s="6" t="str">
        <f>HYPERLINK("[#]Feature_Schema_2!A25064:F25064","WATER_TOWER_P")</f>
        <v>WATER_TOWER_P</v>
      </c>
      <c r="C603" t="s">
        <v>440</v>
      </c>
      <c r="D603" t="s">
        <v>440</v>
      </c>
      <c r="E603" t="s">
        <v>440</v>
      </c>
      <c r="F603" t="s">
        <v>440</v>
      </c>
      <c r="G603" t="s">
        <v>440</v>
      </c>
      <c r="H603">
        <v>100142</v>
      </c>
      <c r="I603" t="s">
        <v>1102</v>
      </c>
    </row>
    <row r="604" spans="1:9" x14ac:dyDescent="0.2">
      <c r="A604" t="s">
        <v>1101</v>
      </c>
      <c r="B604" s="6" t="str">
        <f>HYPERLINK("[#]Feature_Schema_2!A25260:F25260","WATER_TOWER_S")</f>
        <v>WATER_TOWER_S</v>
      </c>
      <c r="F604" t="s">
        <v>442</v>
      </c>
      <c r="G604" t="s">
        <v>442</v>
      </c>
      <c r="H604">
        <v>100142</v>
      </c>
      <c r="I604" t="s">
        <v>1103</v>
      </c>
    </row>
    <row r="605" spans="1:9" x14ac:dyDescent="0.2">
      <c r="A605" t="s">
        <v>1104</v>
      </c>
      <c r="B605" s="6" t="str">
        <f>HYPERLINK("[#]Feature_Schema_2!A25456:F25456","WATER_TREATMENT_BED_S")</f>
        <v>WATER_TREATMENT_BED_S</v>
      </c>
      <c r="D605" t="s">
        <v>17</v>
      </c>
      <c r="E605" t="s">
        <v>17</v>
      </c>
      <c r="F605" t="s">
        <v>17</v>
      </c>
      <c r="G605" t="s">
        <v>17</v>
      </c>
      <c r="H605">
        <v>100299</v>
      </c>
      <c r="I605" t="s">
        <v>1105</v>
      </c>
    </row>
    <row r="606" spans="1:9" x14ac:dyDescent="0.2">
      <c r="A606" t="s">
        <v>1106</v>
      </c>
      <c r="B606" s="6" t="str">
        <f>HYPERLINK("[#]Feature_Schema_2!A25539:F25539","WATER_TURBULENCE_C")</f>
        <v>WATER_TURBULENCE_C</v>
      </c>
      <c r="E606" t="s">
        <v>312</v>
      </c>
      <c r="F606" t="s">
        <v>312</v>
      </c>
      <c r="G606" t="s">
        <v>312</v>
      </c>
      <c r="H606">
        <v>100290</v>
      </c>
      <c r="I606" t="s">
        <v>1107</v>
      </c>
    </row>
    <row r="607" spans="1:9" x14ac:dyDescent="0.2">
      <c r="A607" t="s">
        <v>1106</v>
      </c>
      <c r="B607" s="6" t="str">
        <f>HYPERLINK("[#]Feature_Schema_2!A25585:F25585","WATER_TURBULENCE_P")</f>
        <v>WATER_TURBULENCE_P</v>
      </c>
      <c r="D607" t="s">
        <v>71</v>
      </c>
      <c r="E607" t="s">
        <v>71</v>
      </c>
      <c r="F607" t="s">
        <v>71</v>
      </c>
      <c r="G607" t="s">
        <v>71</v>
      </c>
      <c r="H607">
        <v>100290</v>
      </c>
      <c r="I607" t="s">
        <v>1108</v>
      </c>
    </row>
    <row r="608" spans="1:9" x14ac:dyDescent="0.2">
      <c r="A608" t="s">
        <v>1106</v>
      </c>
      <c r="B608" s="6" t="str">
        <f>HYPERLINK("[#]Feature_Schema_2!A25631:F25631","WATER_TURBULENCE_S")</f>
        <v>WATER_TURBULENCE_S</v>
      </c>
      <c r="E608" t="s">
        <v>73</v>
      </c>
      <c r="F608" t="s">
        <v>73</v>
      </c>
      <c r="G608" t="s">
        <v>73</v>
      </c>
      <c r="H608">
        <v>100290</v>
      </c>
      <c r="I608" t="s">
        <v>1109</v>
      </c>
    </row>
    <row r="609" spans="1:9" x14ac:dyDescent="0.2">
      <c r="A609" t="s">
        <v>1110</v>
      </c>
      <c r="B609" s="6" t="str">
        <f>HYPERLINK("[#]Feature_Schema_2!A25677:F25677","WATER_WELL_AON_S")</f>
        <v>WATER_WELL_AON_S</v>
      </c>
      <c r="E609" t="s">
        <v>76</v>
      </c>
      <c r="G609" t="s">
        <v>76</v>
      </c>
      <c r="H609">
        <v>212</v>
      </c>
      <c r="I609" t="s">
        <v>1111</v>
      </c>
    </row>
    <row r="610" spans="1:9" x14ac:dyDescent="0.2">
      <c r="A610" t="s">
        <v>1112</v>
      </c>
      <c r="B610" s="6" t="str">
        <f>HYPERLINK("[#]Feature_Schema_2!A26017:F26017","WATER_WELL_P")</f>
        <v>WATER_WELL_P</v>
      </c>
      <c r="C610" t="s">
        <v>233</v>
      </c>
      <c r="D610" t="s">
        <v>233</v>
      </c>
      <c r="E610" t="s">
        <v>233</v>
      </c>
      <c r="F610" t="s">
        <v>233</v>
      </c>
      <c r="G610" t="s">
        <v>233</v>
      </c>
      <c r="H610">
        <v>100326</v>
      </c>
      <c r="I610" t="s">
        <v>1113</v>
      </c>
    </row>
    <row r="611" spans="1:9" x14ac:dyDescent="0.2">
      <c r="A611" t="s">
        <v>1112</v>
      </c>
      <c r="B611" s="6" t="str">
        <f>HYPERLINK("[#]Feature_Schema_2!A26386:F26386","WATER_WELL_S")</f>
        <v>WATER_WELL_S</v>
      </c>
      <c r="F611" t="s">
        <v>81</v>
      </c>
      <c r="G611" t="s">
        <v>81</v>
      </c>
      <c r="H611">
        <v>100326</v>
      </c>
      <c r="I611" t="s">
        <v>1114</v>
      </c>
    </row>
    <row r="612" spans="1:9" x14ac:dyDescent="0.2">
      <c r="A612" t="s">
        <v>1115</v>
      </c>
      <c r="B612" s="6" t="str">
        <f>HYPERLINK("[#]Feature_Schema_2!A26755:F26755","WATERBODY_DIVIDER_S")</f>
        <v>WATERBODY_DIVIDER_S</v>
      </c>
      <c r="E612" t="s">
        <v>73</v>
      </c>
      <c r="F612" t="s">
        <v>73</v>
      </c>
      <c r="G612" t="s">
        <v>73</v>
      </c>
      <c r="H612">
        <v>100420</v>
      </c>
      <c r="I612" t="s">
        <v>1116</v>
      </c>
    </row>
    <row r="613" spans="1:9" x14ac:dyDescent="0.2">
      <c r="A613" t="s">
        <v>1117</v>
      </c>
      <c r="B613" s="6" t="str">
        <f>HYPERLINK("[#]Feature_Schema_2!A26792:F26792","WATERFALL_C")</f>
        <v>WATERFALL_C</v>
      </c>
      <c r="C613" t="s">
        <v>79</v>
      </c>
      <c r="D613" t="s">
        <v>79</v>
      </c>
      <c r="E613" t="s">
        <v>79</v>
      </c>
      <c r="F613" t="s">
        <v>79</v>
      </c>
      <c r="G613" t="s">
        <v>79</v>
      </c>
      <c r="H613">
        <v>100321</v>
      </c>
      <c r="I613" t="s">
        <v>1118</v>
      </c>
    </row>
    <row r="614" spans="1:9" x14ac:dyDescent="0.2">
      <c r="A614" t="s">
        <v>1117</v>
      </c>
      <c r="B614" s="6" t="str">
        <f>HYPERLINK("[#]Feature_Schema_2!A26834:F26834","WATERFALL_P")</f>
        <v>WATERFALL_P</v>
      </c>
      <c r="C614" t="s">
        <v>233</v>
      </c>
      <c r="D614" t="s">
        <v>233</v>
      </c>
      <c r="E614" t="s">
        <v>233</v>
      </c>
      <c r="F614" t="s">
        <v>233</v>
      </c>
      <c r="G614" t="s">
        <v>233</v>
      </c>
      <c r="H614">
        <v>100321</v>
      </c>
      <c r="I614" t="s">
        <v>1119</v>
      </c>
    </row>
    <row r="615" spans="1:9" x14ac:dyDescent="0.2">
      <c r="A615" t="s">
        <v>1120</v>
      </c>
      <c r="B615" s="6" t="str">
        <f>HYPERLINK("[#]Feature_Schema_2!A26876:F26876","WATERWORK_P")</f>
        <v>WATERWORK_P</v>
      </c>
      <c r="C615" t="s">
        <v>20</v>
      </c>
      <c r="D615" t="s">
        <v>20</v>
      </c>
      <c r="E615" t="s">
        <v>20</v>
      </c>
      <c r="F615" t="s">
        <v>20</v>
      </c>
      <c r="G615" t="s">
        <v>20</v>
      </c>
      <c r="H615">
        <v>100325</v>
      </c>
      <c r="I615" t="s">
        <v>1121</v>
      </c>
    </row>
    <row r="616" spans="1:9" x14ac:dyDescent="0.2">
      <c r="A616" t="s">
        <v>1120</v>
      </c>
      <c r="B616" s="6" t="str">
        <f>HYPERLINK("[#]Feature_Schema_2!A27168:F27168","WATERWORK_S")</f>
        <v>WATERWORK_S</v>
      </c>
      <c r="C616" t="s">
        <v>22</v>
      </c>
      <c r="D616" t="s">
        <v>22</v>
      </c>
      <c r="E616" t="s">
        <v>22</v>
      </c>
      <c r="F616" t="s">
        <v>22</v>
      </c>
      <c r="G616" t="s">
        <v>22</v>
      </c>
      <c r="H616">
        <v>100325</v>
      </c>
      <c r="I616" t="s">
        <v>1122</v>
      </c>
    </row>
    <row r="617" spans="1:9" x14ac:dyDescent="0.2">
      <c r="A617" t="s">
        <v>1123</v>
      </c>
      <c r="B617" s="6" t="str">
        <f>HYPERLINK("[#]Feature_Schema_2!A27460:F27460","WIND_FARM_P")</f>
        <v>WIND_FARM_P</v>
      </c>
      <c r="C617" t="s">
        <v>20</v>
      </c>
      <c r="D617" t="s">
        <v>20</v>
      </c>
      <c r="E617" t="s">
        <v>20</v>
      </c>
      <c r="G617" t="s">
        <v>20</v>
      </c>
      <c r="H617">
        <v>100687</v>
      </c>
      <c r="I617" t="s">
        <v>1124</v>
      </c>
    </row>
    <row r="618" spans="1:9" x14ac:dyDescent="0.2">
      <c r="A618" t="s">
        <v>1123</v>
      </c>
      <c r="B618" s="6" t="str">
        <f>HYPERLINK("[#]Feature_Schema_2!A27527:F27527","WIND_FARM_S")</f>
        <v>WIND_FARM_S</v>
      </c>
      <c r="C618" t="s">
        <v>22</v>
      </c>
      <c r="D618" t="s">
        <v>22</v>
      </c>
      <c r="E618" t="s">
        <v>22</v>
      </c>
      <c r="F618" t="s">
        <v>22</v>
      </c>
      <c r="G618" t="s">
        <v>22</v>
      </c>
      <c r="H618">
        <v>100687</v>
      </c>
      <c r="I618" t="s">
        <v>1125</v>
      </c>
    </row>
    <row r="619" spans="1:9" x14ac:dyDescent="0.2">
      <c r="A619" t="s">
        <v>1126</v>
      </c>
      <c r="B619" s="6" t="str">
        <f>HYPERLINK("[#]Feature_Schema_2!A27594:F27594","WIND_TURBINE_P")</f>
        <v>WIND_TURBINE_P</v>
      </c>
      <c r="C619" t="s">
        <v>20</v>
      </c>
      <c r="D619" t="s">
        <v>20</v>
      </c>
      <c r="E619" t="s">
        <v>20</v>
      </c>
      <c r="F619" t="s">
        <v>20</v>
      </c>
      <c r="G619" t="s">
        <v>20</v>
      </c>
      <c r="H619">
        <v>100045</v>
      </c>
      <c r="I619" t="s">
        <v>1127</v>
      </c>
    </row>
    <row r="620" spans="1:9" x14ac:dyDescent="0.2">
      <c r="A620" t="s">
        <v>1128</v>
      </c>
      <c r="B620" s="6" t="str">
        <f>HYPERLINK("[#]Feature_Schema_2!A27707:F27707","WINDMILL_P")</f>
        <v>WINDMILL_P</v>
      </c>
      <c r="C620" t="s">
        <v>105</v>
      </c>
      <c r="D620" t="s">
        <v>105</v>
      </c>
      <c r="E620" t="s">
        <v>105</v>
      </c>
      <c r="F620" t="s">
        <v>105</v>
      </c>
      <c r="G620" t="s">
        <v>105</v>
      </c>
      <c r="H620">
        <v>100044</v>
      </c>
      <c r="I620" t="s">
        <v>1129</v>
      </c>
    </row>
    <row r="621" spans="1:9" x14ac:dyDescent="0.2">
      <c r="A621" t="s">
        <v>1128</v>
      </c>
      <c r="B621" s="6" t="str">
        <f>HYPERLINK("[#]Feature_Schema_2!A27835:F27835","WINDMILL_S")</f>
        <v>WINDMILL_S</v>
      </c>
      <c r="E621" t="s">
        <v>107</v>
      </c>
      <c r="F621" t="s">
        <v>107</v>
      </c>
      <c r="G621" t="s">
        <v>107</v>
      </c>
      <c r="H621">
        <v>100044</v>
      </c>
      <c r="I621" t="s">
        <v>1130</v>
      </c>
    </row>
    <row r="622" spans="1:9" x14ac:dyDescent="0.2">
      <c r="A622" t="s">
        <v>1131</v>
      </c>
      <c r="B622" s="6" t="str">
        <f>HYPERLINK("[#]Feature_Schema_2!A27963:F27963","WRECK_P")</f>
        <v>WRECK_P</v>
      </c>
      <c r="C622" t="s">
        <v>71</v>
      </c>
      <c r="D622" t="s">
        <v>71</v>
      </c>
      <c r="E622" t="s">
        <v>71</v>
      </c>
      <c r="F622" t="s">
        <v>71</v>
      </c>
      <c r="G622" t="s">
        <v>71</v>
      </c>
      <c r="H622">
        <v>100278</v>
      </c>
      <c r="I622" t="s">
        <v>1132</v>
      </c>
    </row>
    <row r="623" spans="1:9" x14ac:dyDescent="0.2">
      <c r="A623" t="s">
        <v>1131</v>
      </c>
      <c r="B623" s="6" t="str">
        <f>HYPERLINK("[#]Feature_Schema_2!A28110:F28110","WRECK_S")</f>
        <v>WRECK_S</v>
      </c>
      <c r="E623" t="s">
        <v>73</v>
      </c>
      <c r="F623" t="s">
        <v>73</v>
      </c>
      <c r="G623" t="s">
        <v>73</v>
      </c>
      <c r="H623">
        <v>100278</v>
      </c>
      <c r="I623" t="s">
        <v>1133</v>
      </c>
    </row>
    <row r="624" spans="1:9" x14ac:dyDescent="0.2">
      <c r="A624" t="s">
        <v>1134</v>
      </c>
      <c r="B624" s="6" t="str">
        <f>HYPERLINK("[#]Feature_Schema_2!A28257:F28257","ZOO_P")</f>
        <v>ZOO_P</v>
      </c>
      <c r="C624" t="s">
        <v>37</v>
      </c>
      <c r="D624" t="s">
        <v>37</v>
      </c>
      <c r="G624" t="s">
        <v>37</v>
      </c>
      <c r="H624">
        <v>100078</v>
      </c>
      <c r="I624" t="s">
        <v>1135</v>
      </c>
    </row>
    <row r="625" spans="1:9" x14ac:dyDescent="0.2">
      <c r="A625" t="s">
        <v>1134</v>
      </c>
      <c r="B625" s="6" t="str">
        <f>HYPERLINK("[#]Feature_Schema_2!A28324:F28324","ZOO_S")</f>
        <v>ZOO_S</v>
      </c>
      <c r="C625" t="s">
        <v>39</v>
      </c>
      <c r="D625" t="s">
        <v>39</v>
      </c>
      <c r="E625" t="s">
        <v>39</v>
      </c>
      <c r="F625" t="s">
        <v>39</v>
      </c>
      <c r="G625" t="s">
        <v>39</v>
      </c>
      <c r="H625">
        <v>100078</v>
      </c>
      <c r="I625" t="s">
        <v>1136</v>
      </c>
    </row>
  </sheetData>
  <autoFilter ref="K1:K625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Feature_Index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Towne</dc:creator>
  <cp:lastModifiedBy>Nancy Towne</cp:lastModifiedBy>
  <dcterms:created xsi:type="dcterms:W3CDTF">2016-02-09T19:35:46Z</dcterms:created>
  <dcterms:modified xsi:type="dcterms:W3CDTF">2016-02-09T20:39:32Z</dcterms:modified>
</cp:coreProperties>
</file>